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90" windowWidth="22935" windowHeight="8970"/>
  </bookViews>
  <sheets>
    <sheet name="tab 1-prihodi  " sheetId="20" r:id="rId1"/>
    <sheet name="tab 2-limiti" sheetId="2" r:id="rId2"/>
    <sheet name="tab 3-sobe" sheetId="4" r:id="rId3"/>
    <sheet name="tab 4-kreveti HZZO" sheetId="5" r:id="rId4"/>
    <sheet name="tab 5-sportaši" sheetId="8" r:id="rId5"/>
    <sheet name="tab 6-rashodi" sheetId="19" r:id="rId6"/>
    <sheet name="tab 7-nafta" sheetId="11" r:id="rId7"/>
    <sheet name="tab 8-el.energija" sheetId="12" r:id="rId8"/>
    <sheet name="tab 9-plin" sheetId="14" r:id="rId9"/>
    <sheet name="tab 10-voda" sheetId="13" r:id="rId10"/>
    <sheet name="tab 11-energenti" sheetId="15" r:id="rId11"/>
    <sheet name="tab 12-tekuće i inv.održavanje" sheetId="9" r:id="rId12"/>
    <sheet name="tab 13-kapitalne investicije" sheetId="10" r:id="rId13"/>
    <sheet name="tab 14-obveze" sheetId="18" r:id="rId14"/>
    <sheet name="tab 15-potraživanja" sheetId="22" r:id="rId15"/>
    <sheet name="List1" sheetId="21" r:id="rId16"/>
  </sheets>
  <externalReferences>
    <externalReference r:id="rId17"/>
    <externalReference r:id="rId18"/>
  </externalReferences>
  <definedNames>
    <definedName name="_xlnm.Print_Titles" localSheetId="5">'tab 6-rashodi'!$1:$3</definedName>
  </definedNames>
  <calcPr calcId="124519"/>
</workbook>
</file>

<file path=xl/calcChain.xml><?xml version="1.0" encoding="utf-8"?>
<calcChain xmlns="http://schemas.openxmlformats.org/spreadsheetml/2006/main">
  <c r="M14" i="22"/>
  <c r="L14"/>
  <c r="K14"/>
  <c r="J14"/>
  <c r="I14"/>
  <c r="H14"/>
  <c r="G14"/>
  <c r="F14"/>
  <c r="E14"/>
  <c r="C14"/>
  <c r="D12"/>
  <c r="D11"/>
  <c r="D10"/>
  <c r="D9"/>
  <c r="D8"/>
  <c r="D14" s="1"/>
  <c r="M28" i="20" l="1"/>
  <c r="L28"/>
  <c r="K28"/>
  <c r="J24"/>
  <c r="I24"/>
  <c r="H24"/>
  <c r="G24"/>
  <c r="F24"/>
  <c r="E24"/>
  <c r="D24"/>
  <c r="C24"/>
  <c r="N23"/>
  <c r="M23"/>
  <c r="M22"/>
  <c r="K21"/>
  <c r="M21" s="1"/>
  <c r="M20"/>
  <c r="K20"/>
  <c r="N20" s="1"/>
  <c r="N19"/>
  <c r="K19"/>
  <c r="M19" s="1"/>
  <c r="B18"/>
  <c r="K18" s="1"/>
  <c r="B17"/>
  <c r="K17" s="1"/>
  <c r="M16"/>
  <c r="K16"/>
  <c r="N16" s="1"/>
  <c r="K15"/>
  <c r="M15" s="1"/>
  <c r="M14"/>
  <c r="K14"/>
  <c r="N14" s="1"/>
  <c r="N13"/>
  <c r="K13"/>
  <c r="M13" s="1"/>
  <c r="M12"/>
  <c r="K12"/>
  <c r="N12" s="1"/>
  <c r="L11"/>
  <c r="L24" s="1"/>
  <c r="K11"/>
  <c r="K10"/>
  <c r="M10" s="1"/>
  <c r="M9"/>
  <c r="K9"/>
  <c r="N9" s="1"/>
  <c r="N8"/>
  <c r="K8"/>
  <c r="M8" s="1"/>
  <c r="M7"/>
  <c r="K7"/>
  <c r="N7" s="1"/>
  <c r="K6"/>
  <c r="M6" s="1"/>
  <c r="F82" i="19"/>
  <c r="E82"/>
  <c r="D82"/>
  <c r="G79"/>
  <c r="F79"/>
  <c r="F78" s="1"/>
  <c r="F77" s="1"/>
  <c r="F76" s="1"/>
  <c r="E78"/>
  <c r="E77" s="1"/>
  <c r="E76" s="1"/>
  <c r="D78"/>
  <c r="D77"/>
  <c r="G75"/>
  <c r="F75"/>
  <c r="F74" s="1"/>
  <c r="F73" s="1"/>
  <c r="E74"/>
  <c r="G74" s="1"/>
  <c r="D74"/>
  <c r="E73"/>
  <c r="G73" s="1"/>
  <c r="D73"/>
  <c r="G72"/>
  <c r="F72"/>
  <c r="F71" s="1"/>
  <c r="A72"/>
  <c r="E71"/>
  <c r="G71" s="1"/>
  <c r="D71"/>
  <c r="A71"/>
  <c r="G70"/>
  <c r="F70"/>
  <c r="A70"/>
  <c r="G69"/>
  <c r="F69"/>
  <c r="A69"/>
  <c r="G68"/>
  <c r="F68"/>
  <c r="A68"/>
  <c r="G67"/>
  <c r="F67"/>
  <c r="A67"/>
  <c r="G66"/>
  <c r="F66"/>
  <c r="A66"/>
  <c r="E65"/>
  <c r="G65" s="1"/>
  <c r="D65"/>
  <c r="D64" s="1"/>
  <c r="A65"/>
  <c r="A64"/>
  <c r="G63"/>
  <c r="F63"/>
  <c r="F61" s="1"/>
  <c r="F60" s="1"/>
  <c r="G62"/>
  <c r="F62"/>
  <c r="A62"/>
  <c r="E61"/>
  <c r="D61"/>
  <c r="A61"/>
  <c r="E60"/>
  <c r="A60"/>
  <c r="A59"/>
  <c r="G58"/>
  <c r="F58"/>
  <c r="F57" s="1"/>
  <c r="F56" s="1"/>
  <c r="E57"/>
  <c r="G57" s="1"/>
  <c r="D57"/>
  <c r="D56"/>
  <c r="G55"/>
  <c r="F55"/>
  <c r="G54"/>
  <c r="F54"/>
  <c r="A54"/>
  <c r="G53"/>
  <c r="F53"/>
  <c r="A53"/>
  <c r="G52"/>
  <c r="F52"/>
  <c r="A52"/>
  <c r="E51"/>
  <c r="E48" s="1"/>
  <c r="D51"/>
  <c r="A51"/>
  <c r="G50"/>
  <c r="F50"/>
  <c r="F49" s="1"/>
  <c r="E49"/>
  <c r="D49"/>
  <c r="G49" s="1"/>
  <c r="A48"/>
  <c r="G47"/>
  <c r="F47"/>
  <c r="A47"/>
  <c r="G46"/>
  <c r="F46"/>
  <c r="A46"/>
  <c r="G45"/>
  <c r="F45"/>
  <c r="A45"/>
  <c r="G44"/>
  <c r="F44"/>
  <c r="A44"/>
  <c r="G43"/>
  <c r="F43"/>
  <c r="A43"/>
  <c r="G42"/>
  <c r="F42"/>
  <c r="A42"/>
  <c r="G41"/>
  <c r="F41"/>
  <c r="A41"/>
  <c r="E40"/>
  <c r="G40" s="1"/>
  <c r="D40"/>
  <c r="A40"/>
  <c r="G39"/>
  <c r="F39"/>
  <c r="F38" s="1"/>
  <c r="A39"/>
  <c r="E38"/>
  <c r="G38" s="1"/>
  <c r="D38"/>
  <c r="A38"/>
  <c r="G37"/>
  <c r="F37"/>
  <c r="A37"/>
  <c r="G36"/>
  <c r="F36"/>
  <c r="A36"/>
  <c r="G35"/>
  <c r="F35"/>
  <c r="A35"/>
  <c r="G34"/>
  <c r="F34"/>
  <c r="A34"/>
  <c r="G33"/>
  <c r="F33"/>
  <c r="A33"/>
  <c r="G32"/>
  <c r="F32"/>
  <c r="A32"/>
  <c r="G31"/>
  <c r="F31"/>
  <c r="A31"/>
  <c r="D30"/>
  <c r="F30" s="1"/>
  <c r="F28" s="1"/>
  <c r="A30"/>
  <c r="G29"/>
  <c r="F29"/>
  <c r="A29"/>
  <c r="E28"/>
  <c r="A28"/>
  <c r="G27"/>
  <c r="F27"/>
  <c r="A27"/>
  <c r="G26"/>
  <c r="F26"/>
  <c r="A26"/>
  <c r="G25"/>
  <c r="F25"/>
  <c r="A25"/>
  <c r="G24"/>
  <c r="F24"/>
  <c r="A24"/>
  <c r="G23"/>
  <c r="F23"/>
  <c r="D23"/>
  <c r="D21" s="1"/>
  <c r="A23"/>
  <c r="G22"/>
  <c r="F22"/>
  <c r="A22"/>
  <c r="K21"/>
  <c r="E21"/>
  <c r="E15" s="1"/>
  <c r="A21"/>
  <c r="G20"/>
  <c r="F20"/>
  <c r="A20"/>
  <c r="G19"/>
  <c r="F19"/>
  <c r="A19"/>
  <c r="G18"/>
  <c r="F18"/>
  <c r="A18"/>
  <c r="G17"/>
  <c r="F17"/>
  <c r="A17"/>
  <c r="E16"/>
  <c r="D16"/>
  <c r="G16" s="1"/>
  <c r="A16"/>
  <c r="A15"/>
  <c r="G14"/>
  <c r="F14"/>
  <c r="G13"/>
  <c r="F13"/>
  <c r="F12"/>
  <c r="E12"/>
  <c r="G12" s="1"/>
  <c r="D12"/>
  <c r="A12"/>
  <c r="G11"/>
  <c r="F11"/>
  <c r="F10" s="1"/>
  <c r="A11"/>
  <c r="E10"/>
  <c r="G10" s="1"/>
  <c r="D10"/>
  <c r="A10"/>
  <c r="G9"/>
  <c r="F9"/>
  <c r="A9"/>
  <c r="G8"/>
  <c r="F8"/>
  <c r="A8"/>
  <c r="G7"/>
  <c r="F7"/>
  <c r="A7"/>
  <c r="E6"/>
  <c r="E5" s="1"/>
  <c r="D6"/>
  <c r="A6"/>
  <c r="A5"/>
  <c r="A4"/>
  <c r="L17" i="18"/>
  <c r="K17"/>
  <c r="J17"/>
  <c r="I17"/>
  <c r="H17"/>
  <c r="G17"/>
  <c r="F17"/>
  <c r="E17"/>
  <c r="D17"/>
  <c r="C17"/>
  <c r="B17"/>
  <c r="C16"/>
  <c r="G77" i="19" l="1"/>
  <c r="G6"/>
  <c r="F21"/>
  <c r="D48"/>
  <c r="G48" s="1"/>
  <c r="F16"/>
  <c r="G30"/>
  <c r="F40"/>
  <c r="G61"/>
  <c r="F65"/>
  <c r="F64" s="1"/>
  <c r="D76"/>
  <c r="G76" s="1"/>
  <c r="G78"/>
  <c r="F6"/>
  <c r="F5" s="1"/>
  <c r="G21"/>
  <c r="D28"/>
  <c r="G28" s="1"/>
  <c r="F51"/>
  <c r="F48" s="1"/>
  <c r="E56"/>
  <c r="G56" s="1"/>
  <c r="M17" i="20"/>
  <c r="N17"/>
  <c r="L27"/>
  <c r="L29" s="1"/>
  <c r="M18"/>
  <c r="N18"/>
  <c r="N6"/>
  <c r="N10"/>
  <c r="N11"/>
  <c r="N15"/>
  <c r="N21"/>
  <c r="B24"/>
  <c r="M11"/>
  <c r="M24" s="1"/>
  <c r="M27" s="1"/>
  <c r="M29" s="1"/>
  <c r="F59" i="19"/>
  <c r="E4"/>
  <c r="D60"/>
  <c r="D59" s="1"/>
  <c r="E64"/>
  <c r="G64" s="1"/>
  <c r="D5"/>
  <c r="G51"/>
  <c r="D4" l="1"/>
  <c r="D80" s="1"/>
  <c r="D83" s="1"/>
  <c r="D84" s="1"/>
  <c r="D15"/>
  <c r="G15" s="1"/>
  <c r="F15"/>
  <c r="F4" s="1"/>
  <c r="F80" s="1"/>
  <c r="F83" s="1"/>
  <c r="F84" s="1"/>
  <c r="E59"/>
  <c r="G59" s="1"/>
  <c r="B25" i="20"/>
  <c r="K24"/>
  <c r="E80" i="19"/>
  <c r="G60"/>
  <c r="G4"/>
  <c r="G5"/>
  <c r="K27" i="20" l="1"/>
  <c r="K29" s="1"/>
  <c r="N24"/>
  <c r="G80" i="19"/>
  <c r="E83"/>
  <c r="E84" s="1"/>
  <c r="H11" i="15" l="1"/>
  <c r="J11" s="1"/>
  <c r="F11"/>
  <c r="D11"/>
  <c r="J10"/>
  <c r="H10"/>
  <c r="G10"/>
  <c r="I10" s="1"/>
  <c r="J9"/>
  <c r="H9"/>
  <c r="G9"/>
  <c r="I9" s="1"/>
  <c r="J8"/>
  <c r="H8"/>
  <c r="G8"/>
  <c r="I8" s="1"/>
  <c r="J7"/>
  <c r="H7"/>
  <c r="G7"/>
  <c r="I7" s="1"/>
  <c r="E19" i="14"/>
  <c r="G19" s="1"/>
  <c r="D19"/>
  <c r="F19" s="1"/>
  <c r="B19"/>
  <c r="G18"/>
  <c r="F18"/>
  <c r="G16"/>
  <c r="F16"/>
  <c r="G15"/>
  <c r="F15"/>
  <c r="G13"/>
  <c r="F13"/>
  <c r="G11"/>
  <c r="F11"/>
  <c r="G10"/>
  <c r="F10"/>
  <c r="G8"/>
  <c r="F8"/>
  <c r="E18" i="13"/>
  <c r="G18" s="1"/>
  <c r="D18"/>
  <c r="F18" s="1"/>
  <c r="C18"/>
  <c r="B18"/>
  <c r="E17"/>
  <c r="G17" s="1"/>
  <c r="D17"/>
  <c r="F17" s="1"/>
  <c r="C17"/>
  <c r="B17"/>
  <c r="E16"/>
  <c r="D16"/>
  <c r="C16"/>
  <c r="G16" s="1"/>
  <c r="B16"/>
  <c r="F16" s="1"/>
  <c r="E15"/>
  <c r="G15" s="1"/>
  <c r="D15"/>
  <c r="F15" s="1"/>
  <c r="C15"/>
  <c r="B15"/>
  <c r="E14"/>
  <c r="D14"/>
  <c r="C14"/>
  <c r="G14" s="1"/>
  <c r="B14"/>
  <c r="F14" s="1"/>
  <c r="E13"/>
  <c r="G13" s="1"/>
  <c r="D13"/>
  <c r="F13" s="1"/>
  <c r="C13"/>
  <c r="B13"/>
  <c r="E12"/>
  <c r="D12"/>
  <c r="C12"/>
  <c r="G12" s="1"/>
  <c r="B12"/>
  <c r="F12" s="1"/>
  <c r="E11"/>
  <c r="G11" s="1"/>
  <c r="D11"/>
  <c r="F11" s="1"/>
  <c r="C11"/>
  <c r="B11"/>
  <c r="E10"/>
  <c r="D10"/>
  <c r="C10"/>
  <c r="G10" s="1"/>
  <c r="B10"/>
  <c r="F10" s="1"/>
  <c r="E9"/>
  <c r="G9" s="1"/>
  <c r="D9"/>
  <c r="F9" s="1"/>
  <c r="C9"/>
  <c r="B9"/>
  <c r="E8"/>
  <c r="D8"/>
  <c r="C8"/>
  <c r="G8" s="1"/>
  <c r="B8"/>
  <c r="F8" s="1"/>
  <c r="E7"/>
  <c r="E19" s="1"/>
  <c r="D7"/>
  <c r="D19" s="1"/>
  <c r="C7"/>
  <c r="C19" s="1"/>
  <c r="B7"/>
  <c r="B19" s="1"/>
  <c r="F18" i="12"/>
  <c r="E18"/>
  <c r="G18" s="1"/>
  <c r="C18"/>
  <c r="B18"/>
  <c r="E17"/>
  <c r="G17" s="1"/>
  <c r="C17"/>
  <c r="B17"/>
  <c r="F17" s="1"/>
  <c r="F16"/>
  <c r="E16"/>
  <c r="G16" s="1"/>
  <c r="C16"/>
  <c r="B16"/>
  <c r="E15"/>
  <c r="G15" s="1"/>
  <c r="C15"/>
  <c r="B15"/>
  <c r="F15" s="1"/>
  <c r="F14"/>
  <c r="E14"/>
  <c r="C14"/>
  <c r="G14" s="1"/>
  <c r="F13"/>
  <c r="E13"/>
  <c r="C13"/>
  <c r="G13" s="1"/>
  <c r="F12"/>
  <c r="E12"/>
  <c r="G12" s="1"/>
  <c r="E11"/>
  <c r="G11" s="1"/>
  <c r="D11"/>
  <c r="F11" s="1"/>
  <c r="F10"/>
  <c r="E10"/>
  <c r="G10" s="1"/>
  <c r="E9"/>
  <c r="G9" s="1"/>
  <c r="D9"/>
  <c r="F9" s="1"/>
  <c r="E8"/>
  <c r="G8" s="1"/>
  <c r="D8"/>
  <c r="F8" s="1"/>
  <c r="C8"/>
  <c r="B8"/>
  <c r="E7"/>
  <c r="E19" s="1"/>
  <c r="D7"/>
  <c r="D19" s="1"/>
  <c r="C7"/>
  <c r="C19" s="1"/>
  <c r="B7"/>
  <c r="B19" s="1"/>
  <c r="E18" i="11"/>
  <c r="G18" s="1"/>
  <c r="D18"/>
  <c r="F18" s="1"/>
  <c r="C18"/>
  <c r="B18"/>
  <c r="E17"/>
  <c r="D17"/>
  <c r="F17" s="1"/>
  <c r="C17"/>
  <c r="G17" s="1"/>
  <c r="B17"/>
  <c r="G16"/>
  <c r="F16"/>
  <c r="G15"/>
  <c r="F15"/>
  <c r="G13"/>
  <c r="F13"/>
  <c r="E11"/>
  <c r="G11" s="1"/>
  <c r="D11"/>
  <c r="F11" s="1"/>
  <c r="E10"/>
  <c r="G10" s="1"/>
  <c r="D10"/>
  <c r="F10" s="1"/>
  <c r="E9"/>
  <c r="G9" s="1"/>
  <c r="D9"/>
  <c r="F9" s="1"/>
  <c r="E8"/>
  <c r="G8" s="1"/>
  <c r="D8"/>
  <c r="F8" s="1"/>
  <c r="C8"/>
  <c r="C19" s="1"/>
  <c r="B8"/>
  <c r="B19" s="1"/>
  <c r="F7"/>
  <c r="E7"/>
  <c r="E19" s="1"/>
  <c r="G19" s="1"/>
  <c r="D7"/>
  <c r="D19" s="1"/>
  <c r="B7"/>
  <c r="D50" i="10"/>
  <c r="B9" i="9"/>
  <c r="B6"/>
  <c r="B7"/>
  <c r="B10"/>
  <c r="B5"/>
  <c r="B11"/>
  <c r="G19" i="13" l="1"/>
  <c r="F19"/>
  <c r="G7"/>
  <c r="F7"/>
  <c r="G19" i="12"/>
  <c r="F19"/>
  <c r="F7"/>
  <c r="G7"/>
  <c r="F19" i="11"/>
  <c r="G7"/>
  <c r="B12" i="9"/>
  <c r="B16" s="1"/>
  <c r="Z27" i="8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AB26"/>
  <c r="AA26"/>
  <c r="AB25"/>
  <c r="AA25"/>
  <c r="AB24"/>
  <c r="AA24"/>
  <c r="AB23"/>
  <c r="AA23"/>
  <c r="AB22"/>
  <c r="AA22"/>
  <c r="AB21"/>
  <c r="AA21"/>
  <c r="AB20"/>
  <c r="AA20"/>
  <c r="AB19"/>
  <c r="AA19"/>
  <c r="AB18"/>
  <c r="AA18"/>
  <c r="AB17"/>
  <c r="AA17"/>
  <c r="AB16"/>
  <c r="AA16"/>
  <c r="AB15"/>
  <c r="AA15"/>
  <c r="AB14"/>
  <c r="AA14"/>
  <c r="AB13"/>
  <c r="AA13"/>
  <c r="AB12"/>
  <c r="AA12"/>
  <c r="AB11"/>
  <c r="AA11"/>
  <c r="AB10"/>
  <c r="AA10"/>
  <c r="AB9"/>
  <c r="AA9"/>
  <c r="AB8"/>
  <c r="AA8"/>
  <c r="AB7"/>
  <c r="AA7"/>
  <c r="AB6"/>
  <c r="AA6"/>
  <c r="AB5"/>
  <c r="AB27" s="1"/>
  <c r="AA5"/>
  <c r="AA27" s="1"/>
  <c r="C19" i="5" l="1"/>
  <c r="B19"/>
  <c r="D18"/>
  <c r="D17"/>
  <c r="D16"/>
  <c r="D15"/>
  <c r="D14"/>
  <c r="D13"/>
  <c r="D12"/>
  <c r="D11"/>
  <c r="D10"/>
  <c r="D9"/>
  <c r="D8"/>
  <c r="D7"/>
  <c r="D19" s="1"/>
  <c r="J19" i="4" l="1"/>
  <c r="I19"/>
  <c r="H19"/>
  <c r="F19"/>
  <c r="C19"/>
  <c r="B19"/>
  <c r="L18"/>
  <c r="K18"/>
  <c r="M18" s="1"/>
  <c r="J18"/>
  <c r="E18"/>
  <c r="E19" s="1"/>
  <c r="D18"/>
  <c r="M17"/>
  <c r="L17"/>
  <c r="K17"/>
  <c r="J17"/>
  <c r="G17"/>
  <c r="D17"/>
  <c r="L16"/>
  <c r="K16"/>
  <c r="M16" s="1"/>
  <c r="J16"/>
  <c r="G16"/>
  <c r="D16"/>
  <c r="M15"/>
  <c r="L15"/>
  <c r="K15"/>
  <c r="J15"/>
  <c r="G15"/>
  <c r="D15"/>
  <c r="L14"/>
  <c r="K14"/>
  <c r="M14" s="1"/>
  <c r="J14"/>
  <c r="G14"/>
  <c r="D14"/>
  <c r="M13"/>
  <c r="L13"/>
  <c r="K13"/>
  <c r="J13"/>
  <c r="G13"/>
  <c r="D13"/>
  <c r="L12"/>
  <c r="K12"/>
  <c r="M12" s="1"/>
  <c r="J12"/>
  <c r="G12"/>
  <c r="D12"/>
  <c r="M11"/>
  <c r="L11"/>
  <c r="K11"/>
  <c r="J11"/>
  <c r="G11"/>
  <c r="D11"/>
  <c r="L10"/>
  <c r="K10"/>
  <c r="M10" s="1"/>
  <c r="J10"/>
  <c r="G10"/>
  <c r="D10"/>
  <c r="M9"/>
  <c r="L9"/>
  <c r="K9"/>
  <c r="J9"/>
  <c r="G9"/>
  <c r="D9"/>
  <c r="L8"/>
  <c r="K8"/>
  <c r="M8" s="1"/>
  <c r="J8"/>
  <c r="G8"/>
  <c r="D8"/>
  <c r="M7"/>
  <c r="M19" s="1"/>
  <c r="L7"/>
  <c r="L19" s="1"/>
  <c r="K7"/>
  <c r="K19" s="1"/>
  <c r="J7"/>
  <c r="G7"/>
  <c r="D7"/>
  <c r="D19" s="1"/>
  <c r="G18" l="1"/>
  <c r="G19" s="1"/>
  <c r="L54" i="2" l="1"/>
  <c r="B52"/>
  <c r="B46"/>
  <c r="B44"/>
  <c r="B42"/>
  <c r="G36"/>
  <c r="F36"/>
  <c r="E36"/>
  <c r="D36"/>
  <c r="C36"/>
  <c r="B36"/>
  <c r="G31"/>
  <c r="F31"/>
  <c r="E31"/>
  <c r="D31"/>
  <c r="C31"/>
  <c r="B31"/>
  <c r="U24"/>
  <c r="T24"/>
  <c r="S24"/>
  <c r="R24"/>
  <c r="Q24"/>
  <c r="P24"/>
  <c r="O24"/>
  <c r="L24"/>
  <c r="K24"/>
  <c r="G24"/>
  <c r="U22"/>
  <c r="U25" s="1"/>
  <c r="T22"/>
  <c r="T25" s="1"/>
  <c r="S22"/>
  <c r="S25" s="1"/>
  <c r="R22"/>
  <c r="R25" s="1"/>
  <c r="Q22"/>
  <c r="Q25" s="1"/>
  <c r="P22"/>
  <c r="P25" s="1"/>
  <c r="L22"/>
  <c r="L25" s="1"/>
  <c r="K22"/>
  <c r="K25" s="1"/>
  <c r="E22"/>
  <c r="D22"/>
  <c r="C22"/>
  <c r="P21"/>
  <c r="O21"/>
  <c r="V21" s="1"/>
  <c r="F21"/>
  <c r="V20"/>
  <c r="W20" s="1"/>
  <c r="P20"/>
  <c r="O20"/>
  <c r="F20"/>
  <c r="P19"/>
  <c r="O19"/>
  <c r="V19" s="1"/>
  <c r="F19"/>
  <c r="V18"/>
  <c r="W18" s="1"/>
  <c r="P18"/>
  <c r="O18"/>
  <c r="F18"/>
  <c r="P17"/>
  <c r="O17"/>
  <c r="V17" s="1"/>
  <c r="F17"/>
  <c r="V16"/>
  <c r="W16" s="1"/>
  <c r="P16"/>
  <c r="O16"/>
  <c r="F16"/>
  <c r="P15"/>
  <c r="O15"/>
  <c r="V15" s="1"/>
  <c r="F15"/>
  <c r="V14"/>
  <c r="W14" s="1"/>
  <c r="P14"/>
  <c r="O14"/>
  <c r="F14"/>
  <c r="P13"/>
  <c r="O13"/>
  <c r="V13" s="1"/>
  <c r="F13"/>
  <c r="V12"/>
  <c r="W12" s="1"/>
  <c r="P12"/>
  <c r="O12"/>
  <c r="F12"/>
  <c r="P11"/>
  <c r="O11"/>
  <c r="V11" s="1"/>
  <c r="F11"/>
  <c r="V10"/>
  <c r="W10" s="1"/>
  <c r="P10"/>
  <c r="O10"/>
  <c r="O22" s="1"/>
  <c r="O25" s="1"/>
  <c r="F10"/>
  <c r="F22" s="1"/>
  <c r="V8"/>
  <c r="B53" s="1"/>
  <c r="V7"/>
  <c r="V6"/>
  <c r="B49" s="1"/>
  <c r="V5"/>
  <c r="B45" s="1"/>
  <c r="W13" l="1"/>
  <c r="B13"/>
  <c r="X13"/>
  <c r="W21"/>
  <c r="B21"/>
  <c r="X21"/>
  <c r="W15"/>
  <c r="B15"/>
  <c r="X15"/>
  <c r="G19"/>
  <c r="G13"/>
  <c r="G21"/>
  <c r="W17"/>
  <c r="B17"/>
  <c r="X17"/>
  <c r="W11"/>
  <c r="B11"/>
  <c r="G11" s="1"/>
  <c r="X11"/>
  <c r="W19"/>
  <c r="B19"/>
  <c r="X19"/>
  <c r="G15"/>
  <c r="G17"/>
  <c r="B50"/>
  <c r="G10"/>
  <c r="V24"/>
  <c r="B43"/>
  <c r="B54" s="1"/>
  <c r="B47"/>
  <c r="B51"/>
  <c r="X18"/>
  <c r="X10"/>
  <c r="X12"/>
  <c r="X14"/>
  <c r="X16"/>
  <c r="X20"/>
  <c r="V22"/>
  <c r="B48"/>
  <c r="B10"/>
  <c r="B12"/>
  <c r="G12" s="1"/>
  <c r="B14"/>
  <c r="G14" s="1"/>
  <c r="B16"/>
  <c r="G16" s="1"/>
  <c r="B18"/>
  <c r="G18" s="1"/>
  <c r="B20"/>
  <c r="G20" s="1"/>
  <c r="D46" l="1"/>
  <c r="F46" s="1"/>
  <c r="I14"/>
  <c r="H14"/>
  <c r="I16"/>
  <c r="D48"/>
  <c r="F48" s="1"/>
  <c r="H16"/>
  <c r="H11"/>
  <c r="I11"/>
  <c r="D43"/>
  <c r="F43" s="1"/>
  <c r="D50"/>
  <c r="F50" s="1"/>
  <c r="I18"/>
  <c r="H18"/>
  <c r="I20"/>
  <c r="D52"/>
  <c r="F52" s="1"/>
  <c r="H20"/>
  <c r="H12"/>
  <c r="I12"/>
  <c r="D44"/>
  <c r="F44" s="1"/>
  <c r="D42"/>
  <c r="I10"/>
  <c r="I22" s="1"/>
  <c r="G22"/>
  <c r="H10"/>
  <c r="H15"/>
  <c r="I15"/>
  <c r="D47"/>
  <c r="F47" s="1"/>
  <c r="D53"/>
  <c r="F53" s="1"/>
  <c r="H21"/>
  <c r="I21"/>
  <c r="H19"/>
  <c r="I19"/>
  <c r="D51"/>
  <c r="F51" s="1"/>
  <c r="B22"/>
  <c r="D49"/>
  <c r="F49" s="1"/>
  <c r="H17"/>
  <c r="I17"/>
  <c r="D45"/>
  <c r="F45" s="1"/>
  <c r="H13"/>
  <c r="I13"/>
  <c r="V25"/>
  <c r="W22"/>
  <c r="X22"/>
  <c r="H22" l="1"/>
  <c r="G25"/>
  <c r="G26" s="1"/>
  <c r="D54"/>
  <c r="F54" s="1"/>
  <c r="F42"/>
</calcChain>
</file>

<file path=xl/sharedStrings.xml><?xml version="1.0" encoding="utf-8"?>
<sst xmlns="http://schemas.openxmlformats.org/spreadsheetml/2006/main" count="653" uniqueCount="495">
  <si>
    <t>ANALIZA OSTVARENIH I UGOVORENIH LIMITA ZA 2022. god</t>
  </si>
  <si>
    <t>STANJE NA DAN 31.12.2022.</t>
  </si>
  <si>
    <t>OSNOVNO OSIGURANJE (BEZ DOPUNSKOG)</t>
  </si>
  <si>
    <t>VAN LIMITA</t>
  </si>
  <si>
    <t>LIMIT</t>
  </si>
  <si>
    <t>ambulanta  SKZZ</t>
  </si>
  <si>
    <t>AKUTNI</t>
  </si>
  <si>
    <t>STACION.</t>
  </si>
  <si>
    <t>BIOL.TER.</t>
  </si>
  <si>
    <t>UK. BOLN.</t>
  </si>
  <si>
    <t>SVEUKUPNO</t>
  </si>
  <si>
    <r>
      <t xml:space="preserve">IZVRŠENJE </t>
    </r>
    <r>
      <rPr>
        <strike/>
        <sz val="9"/>
        <color indexed="8"/>
        <rFont val="Calibri"/>
        <family val="2"/>
        <scheme val="minor"/>
      </rPr>
      <t>%</t>
    </r>
  </si>
  <si>
    <t>više/manje od max.moguće</t>
  </si>
  <si>
    <t>STL</t>
  </si>
  <si>
    <t>INTERVENCIJ. KARDIOLOGIJA</t>
  </si>
  <si>
    <t>LIMIT za određene postupke</t>
  </si>
  <si>
    <t>MR</t>
  </si>
  <si>
    <t>CT</t>
  </si>
  <si>
    <t>Holter EKG</t>
  </si>
  <si>
    <t>UZV srca</t>
  </si>
  <si>
    <t>Ergometrija</t>
  </si>
  <si>
    <t>UZV dojki</t>
  </si>
  <si>
    <t>UZV štitnjače</t>
  </si>
  <si>
    <t>UKUPNO</t>
  </si>
  <si>
    <t>više/manje</t>
  </si>
  <si>
    <t>mj. Limit</t>
  </si>
  <si>
    <t>godišnje</t>
  </si>
  <si>
    <t>1-5/22</t>
  </si>
  <si>
    <t>6-10/22</t>
  </si>
  <si>
    <t>11-12/22</t>
  </si>
  <si>
    <t>11/22</t>
  </si>
  <si>
    <t>12/22</t>
  </si>
  <si>
    <t xml:space="preserve"> 01/22</t>
  </si>
  <si>
    <t xml:space="preserve"> 02/22</t>
  </si>
  <si>
    <t xml:space="preserve"> 03/22</t>
  </si>
  <si>
    <t xml:space="preserve"> 04/22</t>
  </si>
  <si>
    <t xml:space="preserve"> 05/22</t>
  </si>
  <si>
    <t xml:space="preserve"> 06/22</t>
  </si>
  <si>
    <t xml:space="preserve"> 07/22</t>
  </si>
  <si>
    <t xml:space="preserve"> 08/22</t>
  </si>
  <si>
    <t xml:space="preserve"> 09/22</t>
  </si>
  <si>
    <t xml:space="preserve"> 10/22</t>
  </si>
  <si>
    <t xml:space="preserve"> 11/22</t>
  </si>
  <si>
    <t xml:space="preserve"> 12/22</t>
  </si>
  <si>
    <t>limit po Ugovoru do 31.12.22.</t>
  </si>
  <si>
    <t>limit po Ug. do 31.12.22.</t>
  </si>
  <si>
    <t>Višak/manjak prema ugovoru</t>
  </si>
  <si>
    <t>Višak/manjak</t>
  </si>
  <si>
    <t>Obveza prema zapisniku HZZO na 31.12.21. (avans )</t>
  </si>
  <si>
    <t>UKUPNO IZVRŠENJE LIMITA OD 01-03/2018</t>
  </si>
  <si>
    <t>UDIO U POSTOTKU U UKUPNOM IZVRŠENJU OD 01-03/2018</t>
  </si>
  <si>
    <t>UKUPNO IZVRŠENJE LIMITA OD 01-04/2018</t>
  </si>
  <si>
    <t>UDIO U POSTOTKU U UKUPNOM IZVRŠENJU OD 01-04/2018</t>
  </si>
  <si>
    <t>MAKSIMALNO MOGUĆI LIMIT = POLIKLINIKA + STACIONAR + ODREĐENI POSTUPCI</t>
  </si>
  <si>
    <t>SVEUKUPNO IZVRŠENJE LIMITA = POLIKLINIKA + STACIONAR + ODREĐENI POSTUPCI</t>
  </si>
  <si>
    <t>RAZLIKA (IZVRŠENO - MAX.MOGUĆE)</t>
  </si>
  <si>
    <t xml:space="preserve">Nacionalni </t>
  </si>
  <si>
    <t>2022</t>
  </si>
  <si>
    <t>program NPP</t>
  </si>
  <si>
    <t>TABLICA 1</t>
  </si>
  <si>
    <t>Thalassotherapia Opatija</t>
  </si>
  <si>
    <r>
      <t xml:space="preserve">POPUNJENOST KAPACITETA </t>
    </r>
    <r>
      <rPr>
        <b/>
        <sz val="16"/>
        <color rgb="FFFF0000"/>
        <rFont val="Calibri"/>
        <family val="2"/>
        <scheme val="minor"/>
      </rPr>
      <t>SOBA</t>
    </r>
    <r>
      <rPr>
        <b/>
        <sz val="16"/>
        <color theme="1"/>
        <rFont val="Calibri"/>
        <family val="2"/>
        <scheme val="minor"/>
      </rPr>
      <t xml:space="preserve"> DUBRAVA, FIZIJATRIJA IV kat, EUROPA I i II za 2022. god. - </t>
    </r>
    <r>
      <rPr>
        <b/>
        <sz val="16"/>
        <color rgb="FFFF0000"/>
        <rFont val="Calibri"/>
        <family val="2"/>
        <scheme val="minor"/>
      </rPr>
      <t>TRŽIŠTE</t>
    </r>
  </si>
  <si>
    <t>DUBRAVA</t>
  </si>
  <si>
    <t>FIZIJATRIJA III i IV kat</t>
  </si>
  <si>
    <t>EUROPA I  i II</t>
  </si>
  <si>
    <t>2022 GODINA</t>
  </si>
  <si>
    <t xml:space="preserve">BROJ NOĆENJA </t>
  </si>
  <si>
    <t>BROJ SOBA</t>
  </si>
  <si>
    <t>ISKORIŠTENOST KAPACITETA U %</t>
  </si>
  <si>
    <t>01/2022</t>
  </si>
  <si>
    <t>02/2022</t>
  </si>
  <si>
    <t>03/2022</t>
  </si>
  <si>
    <t>04/2022</t>
  </si>
  <si>
    <t>05/2022</t>
  </si>
  <si>
    <t>06/2022</t>
  </si>
  <si>
    <t>07/2022</t>
  </si>
  <si>
    <t>08/2022</t>
  </si>
  <si>
    <t>09/2022</t>
  </si>
  <si>
    <t>10/2022</t>
  </si>
  <si>
    <t>11/2022</t>
  </si>
  <si>
    <t>12/2022</t>
  </si>
  <si>
    <t>UKUPNO 2022 - PROSJEK</t>
  </si>
  <si>
    <t xml:space="preserve">Podaci preuzeti iz Mish.  </t>
  </si>
  <si>
    <t>Napomene:</t>
  </si>
  <si>
    <t>Maksimalni prosječni kapacitet zauzetosti soba je 2.340 noćenja mjesečno odnosno 28.080 noćenja godišnje zauzetosti soba.</t>
  </si>
  <si>
    <t>Za tržište se prosječno koristi 5 soba s III kata i 12 soba s IV kata fizijatrije.</t>
  </si>
  <si>
    <t>TABLICA 2</t>
  </si>
  <si>
    <r>
      <t xml:space="preserve">POPUNJENOST KAPACITETA </t>
    </r>
    <r>
      <rPr>
        <b/>
        <sz val="16"/>
        <color rgb="FFFF0000"/>
        <rFont val="Calibri"/>
        <family val="2"/>
        <scheme val="minor"/>
      </rPr>
      <t>KREVETA ZA PACIJENTE HZZO                        PREMA UGOVORU 2022. god.</t>
    </r>
  </si>
  <si>
    <t>HZZO</t>
  </si>
  <si>
    <t>BROJ NOĆENJA</t>
  </si>
  <si>
    <t>BROJ KREVETA</t>
  </si>
  <si>
    <t>Podaci preuzeti iz BisIzvještaja i WinBisa.</t>
  </si>
  <si>
    <t>Napomena:</t>
  </si>
  <si>
    <t>Broj noćenja odnosi se na sve pacijente s uputnicom (medicinski dio).</t>
  </si>
  <si>
    <t>TABLICA 3</t>
  </si>
  <si>
    <t>SPORTAŠI PO KLUBOVIMA 2022. GODINE - BROJ SPORTAŠA (pregleda) + broj dodatnih pretraga</t>
  </si>
  <si>
    <t>ŠIFRA PARTNERA</t>
  </si>
  <si>
    <t>IME PARTNERA</t>
  </si>
  <si>
    <t>SIJEČANJ</t>
  </si>
  <si>
    <t>VELJAČA</t>
  </si>
  <si>
    <t>OŽUJAK</t>
  </si>
  <si>
    <t>TRAVANJ</t>
  </si>
  <si>
    <t>SVIBANJ</t>
  </si>
  <si>
    <t>LIPANJ</t>
  </si>
  <si>
    <t>SRPANJ</t>
  </si>
  <si>
    <t>KOLOVOZ</t>
  </si>
  <si>
    <t>RUJAN</t>
  </si>
  <si>
    <t>LISTOPAD</t>
  </si>
  <si>
    <t>STUDENI</t>
  </si>
  <si>
    <t>PROSINAC</t>
  </si>
  <si>
    <t>BROJ sportaša</t>
  </si>
  <si>
    <t>BROJ dodatnih pretraga</t>
  </si>
  <si>
    <t>BROJ SPORTAŠA</t>
  </si>
  <si>
    <t>BROJ DODATNIH PRETRAGA</t>
  </si>
  <si>
    <t xml:space="preserve">NOGOMETNI KLUB RIJEKA </t>
  </si>
  <si>
    <t>RUKOMETNI KLUB LIBURNIJA OPATIJA</t>
  </si>
  <si>
    <t>KARATE KLUB OPATIJA</t>
  </si>
  <si>
    <t>ODBOJKAŠKI KLUB OPATIJA</t>
  </si>
  <si>
    <t>KLUB ODBOJKA NA PIJESKU</t>
  </si>
  <si>
    <t>KOŠARKAŠKI KLUB OPATIJA</t>
  </si>
  <si>
    <t>VATERPOLO KLUB OPATIJA</t>
  </si>
  <si>
    <t>TENIS KLUB OPATIJA</t>
  </si>
  <si>
    <t>AUTO KLUB "OPATIJA"</t>
  </si>
  <si>
    <t>AK MOTORSPORT IČIĆI</t>
  </si>
  <si>
    <t>NOGOMETNI KLUB OPATIJA</t>
  </si>
  <si>
    <t>JEDRILIČARSKI KLUB OPATIJA</t>
  </si>
  <si>
    <t>STRELJAČKI KLUB DVD OPATIJA</t>
  </si>
  <si>
    <t>YAHT KLUB CROATIA - OPATIJA</t>
  </si>
  <si>
    <t>STOLNOTENISKI KLUB OPATIJA 08</t>
  </si>
  <si>
    <t>MALONOGOMETNI KLUB GOROVO</t>
  </si>
  <si>
    <t>BOĆARSKI KLUB OPATIJA</t>
  </si>
  <si>
    <t>DRUŠTVO SPORTOVA NA MORU VOLOSKO</t>
  </si>
  <si>
    <t>KIKBOXING KLUB "OPATIJA FIGHT CLUB"</t>
  </si>
  <si>
    <t>ŠPORTSKO RIBOLOVNI KLUB "IČIĆI"</t>
  </si>
  <si>
    <t>JUDO KLUB LIBURNIJA</t>
  </si>
  <si>
    <t>HRVATSKI PLIVAČKI SAVEZ</t>
  </si>
  <si>
    <t>UKUPNO PO MJESECIMA</t>
  </si>
  <si>
    <t>3232 - USLUGE TEKUĆEG I INVESTICIJSKOG ODRŽAVANJA</t>
  </si>
  <si>
    <t>PLAN JAVNE NABAVE - INVESTICIJSKO ODRŽAVANJE</t>
  </si>
  <si>
    <t>IZVRŠENJE IZNOS</t>
  </si>
  <si>
    <t>UKUPNO INVESTICIJSKO ODRŽAVANJE po projektima</t>
  </si>
  <si>
    <t>UKUPNO TEKUĆE ODRŽAVANJE</t>
  </si>
  <si>
    <t>TABLICA 10</t>
  </si>
  <si>
    <t>3232 - UKUPNO USLUGE TEKUĆEG I INVESTICIJSKOG ODRŽAVANJA 2022. god.</t>
  </si>
  <si>
    <t>Zamjena i dobava rtg cijevi s kučištem za MSCT - hitnoća 02/22</t>
  </si>
  <si>
    <t>Zamjena i dobava rtg cijevi s kučištem za MSCT - hitnoća 12/22</t>
  </si>
  <si>
    <t>Prilagodba i uređenje prostora za dermatološku djelatnost</t>
  </si>
  <si>
    <t>Popravak CT-a Siemens</t>
  </si>
  <si>
    <t>Građevinsko obrtnički radovi bazen wellness</t>
  </si>
  <si>
    <t>Glavni i izvedbeni projekt za sanaciju stana Dubrava</t>
  </si>
  <si>
    <t xml:space="preserve">KONTO </t>
  </si>
  <si>
    <t>OPIS POJEDINE INVESTICIJE</t>
  </si>
  <si>
    <t xml:space="preserve">IZNOS </t>
  </si>
  <si>
    <t>UKUPNO KONTO 4123 LICENCE</t>
  </si>
  <si>
    <t xml:space="preserve">Od toga </t>
  </si>
  <si>
    <t xml:space="preserve">UKUPNO KONTO 4221 UREDSKA OPREMA I NAMJEŠTAJ </t>
  </si>
  <si>
    <t xml:space="preserve">UKUPNO KONTO 4222 KOMUNIKACIJSKA OPREMA </t>
  </si>
  <si>
    <t>MOBITELI</t>
  </si>
  <si>
    <t xml:space="preserve">UKUPNO KONTO 4223 OPREMA ZA ODRŽAVANJE I ZAŠTITU </t>
  </si>
  <si>
    <t>UKUPNO KONTO 4224 MEDICINSKA I LABORATO.OPREMA</t>
  </si>
  <si>
    <t>HOLTERI - 5 KOM</t>
  </si>
  <si>
    <t>RAZNA MEDICINSKA OPREMA</t>
  </si>
  <si>
    <t>UKUPNO KONTO 4227 UREĐAJI, STROJEVI  I OPREMA ZA OSTALE NAMJENE</t>
  </si>
  <si>
    <t>RAZNA OPREMA</t>
  </si>
  <si>
    <t xml:space="preserve">UKUPNO ZA KONTO 4262 ULAGANJA U RAČUNALNE PROG. </t>
  </si>
  <si>
    <r>
      <rPr>
        <b/>
        <sz val="12"/>
        <color theme="1"/>
        <rFont val="Times New Roman"/>
        <family val="1"/>
        <charset val="238"/>
      </rPr>
      <t>THALASSOTHERAPIA OPATIJA - KAPITALNE INVESTICIJE 2022.GODINE
PROGRAM: INVESTICIJE U ZDRAVSTVENU INFRASTRUKTURU
K 420802 - Ulaganje i opremanje objekta</t>
    </r>
    <r>
      <rPr>
        <b/>
        <sz val="12"/>
        <color theme="1"/>
        <rFont val="Calibri"/>
        <family val="2"/>
        <charset val="238"/>
        <scheme val="minor"/>
      </rPr>
      <t xml:space="preserve">
</t>
    </r>
  </si>
  <si>
    <t>LICENCE BIS I WINDOWS</t>
  </si>
  <si>
    <t>UKUPNO KONTO 4126 OSTALA NEMATERIJALNA IMOVINA</t>
  </si>
  <si>
    <t>WEB STRANICA THALASSOTHERAPIA</t>
  </si>
  <si>
    <t>UREDSKI NAMJEŠTAJ</t>
  </si>
  <si>
    <t>KLIMA UREĐAJI</t>
  </si>
  <si>
    <t>RAČUNALA, TABLETI I OSTALA OPREMA I MATERIJALI</t>
  </si>
  <si>
    <t>RADNA STANICA ZA OBRADU SLIKA U RADIOLOGIJI</t>
  </si>
  <si>
    <t>UZV APARAT ZA KARDIOLOGIJU</t>
  </si>
  <si>
    <t>UZV APARAT ZA NEUROLOGIJU / DIJABETOLOGIJU</t>
  </si>
  <si>
    <t>UREĐAJ ZA LIPOSUKCIJU</t>
  </si>
  <si>
    <t>SIGURNOSNI POJAS, LUK I BOČNI POTPORANJ ZA POKRETNU TRAKU</t>
  </si>
  <si>
    <t>COMPEX - 2 KOM</t>
  </si>
  <si>
    <t>CENTRIFUGA ZA LABORATORIJI</t>
  </si>
  <si>
    <t>FOTOTERAPIJSKA LED LAMPA DERMA</t>
  </si>
  <si>
    <t>POKRETNI KREVET ZA FIZIKALNU</t>
  </si>
  <si>
    <t>KORITA S RADNIM STOLOM</t>
  </si>
  <si>
    <t>UREĐAJ ZA MJERENJE ARTERIJSKOG TLAKA</t>
  </si>
  <si>
    <t>PERILICA RESTORAN DUBRAVA</t>
  </si>
  <si>
    <t>STOLICE TAPECIRANE</t>
  </si>
  <si>
    <t>KLUPE ZA ČEKAONICU</t>
  </si>
  <si>
    <t>FEN SUŠILO ZA KOSU - 5 KOM</t>
  </si>
  <si>
    <t>VRTNA GARNITURA</t>
  </si>
  <si>
    <t>UGRADBENI HLADNJAK</t>
  </si>
  <si>
    <t>RUČNO GLAČALO PRAONA</t>
  </si>
  <si>
    <t>HOTELSKI SEF DUBRAVA - 2 KOM</t>
  </si>
  <si>
    <t>VAGA ZA KUHINJU</t>
  </si>
  <si>
    <t>KOLICA ZA TRANSPORT TEHNIČKA SLUŽBA</t>
  </si>
  <si>
    <t>USISAVAČ</t>
  </si>
  <si>
    <t>INTEGRACIJA SUSTAVA SA IN2 - ODJELNA SKLADIŠTA</t>
  </si>
  <si>
    <t xml:space="preserve">STATUS-INTEGRACIJA </t>
  </si>
  <si>
    <t>UKUPNO ZA KONTO 4511 DODATNA ULAGANJA NA GRAĐEVINSKIM OBJEKTIMA</t>
  </si>
  <si>
    <t>GLAVNI PROJEKT NADOGRADNJE WELLNESSA</t>
  </si>
  <si>
    <t>IDEJNI PROJEKT THALASSO WELLNESS CENTRA</t>
  </si>
  <si>
    <t>UTROŠAK NAFTE 2021./2022. GODINE</t>
  </si>
  <si>
    <t>MJESEC</t>
  </si>
  <si>
    <t>2021. GODINA</t>
  </si>
  <si>
    <t>2022. GODINA</t>
  </si>
  <si>
    <t>INDEKS UTROŠKA NAFTE U LITRAMA</t>
  </si>
  <si>
    <t>INDEKS UTROŠKA NAFTE U KUNAMA</t>
  </si>
  <si>
    <t>LITARA</t>
  </si>
  <si>
    <t>KUNA</t>
  </si>
  <si>
    <t>PODACI PREUZETI IZ ULAZNIH RAČUNA - iznosi s PDV-om</t>
  </si>
  <si>
    <t>UTROŠAK ELEKTRIČNE ENERGIJE 2021./2022. GODINE</t>
  </si>
  <si>
    <t>INDEKS UTROŠKA ELEKTRIČNE ENERGIJE U kWh</t>
  </si>
  <si>
    <t>INDEKS UTROŠKA ELEKTRIČNE ENERGIJE U KUNAMA</t>
  </si>
  <si>
    <t>kWh</t>
  </si>
  <si>
    <t>Od 06/2020 pribraja se i potrošnja po brojilu u stanu u Vili Dubrava</t>
  </si>
  <si>
    <t>UTROŠAK VODE 2021./2022. GODINA - UKUPNO</t>
  </si>
  <si>
    <t>2021. godina</t>
  </si>
  <si>
    <t>2022. godina</t>
  </si>
  <si>
    <t>INDEKS UTROŠKA VODE U m3</t>
  </si>
  <si>
    <t>INDEKS UTROŠKA VODE U KUNAMA</t>
  </si>
  <si>
    <t>m3</t>
  </si>
  <si>
    <t>UTROŠAK PLINA 2021./2022. GODINA</t>
  </si>
  <si>
    <t>INDEKS UTROŠKA PLINA U KG</t>
  </si>
  <si>
    <t>INDEKS UTROŠKA PLINA U KUNAMA</t>
  </si>
  <si>
    <t>KILOGRAMA</t>
  </si>
  <si>
    <t>PLIN SE ISKLJUČIVO TROŠI U KUHINJI DUBRAVE</t>
  </si>
  <si>
    <t>ENERGENTI</t>
  </si>
  <si>
    <t>RAZLIKA                     2022-2021 GOD.</t>
  </si>
  <si>
    <t>USPOREDBA                     2021/2022 GOD. U POSTOTKU</t>
  </si>
  <si>
    <t>MJ. JED.</t>
  </si>
  <si>
    <t>KOLIČINA</t>
  </si>
  <si>
    <t>LOŽ ULJE</t>
  </si>
  <si>
    <t>l</t>
  </si>
  <si>
    <t>ELEKTRIČNA ENERGIJA</t>
  </si>
  <si>
    <t>PLIN</t>
  </si>
  <si>
    <t>kg</t>
  </si>
  <si>
    <t>VODA</t>
  </si>
  <si>
    <t xml:space="preserve">Tijekom 2022. god. u usporedbi s 2021. god. trošili smo više energenata: električne energije 8% više, plina 14% više i </t>
  </si>
  <si>
    <t>vode 11 % više.</t>
  </si>
  <si>
    <t>Potrošnja lož ulja u litrama je u istim omjerima kao i prethodne godine, ali je zato financijski rashod u kunama za 73% veći zbog porasta cijena na tržištu.</t>
  </si>
  <si>
    <t>Značajan je i financijski rashod plina od 47% više u odnosu na 2021. god., također zbog porasta cijena.</t>
  </si>
  <si>
    <t xml:space="preserve">Povećani rashodi za električnu energiju i vodu prate povečanu potrošnju navedenih energenata. </t>
  </si>
  <si>
    <t>Ukupno smo na energentima u 2022. godini potrošili 894.700 kn više u usporedbi s prethodnom godinom odnosno 31% više.</t>
  </si>
  <si>
    <t>TABLICA 4</t>
  </si>
  <si>
    <t>TABLICA 11</t>
  </si>
  <si>
    <t>TABLICA 5</t>
  </si>
  <si>
    <t>TABLICA 6</t>
  </si>
  <si>
    <t>TABLICA 7</t>
  </si>
  <si>
    <t>TABLICA 8</t>
  </si>
  <si>
    <t>TABLICA 9</t>
  </si>
  <si>
    <t>USPOREDBA UTROŠAKA ENERGENATA i VODE 2021./2022. GODINE</t>
  </si>
  <si>
    <t>R.B.</t>
  </si>
  <si>
    <t>Doprinosi na plaće</t>
  </si>
  <si>
    <t>Financijski rashodi</t>
  </si>
  <si>
    <t>OBVEZE</t>
  </si>
  <si>
    <t>- kn</t>
  </si>
  <si>
    <t>O P I S</t>
  </si>
  <si>
    <t>Ukupne obveze na dan 31.12.2022.</t>
  </si>
  <si>
    <t>Ukupno dospjele obveze</t>
  </si>
  <si>
    <t>Dospjele obveze do 60 dana</t>
  </si>
  <si>
    <t>Dospjele obveze od 61 do 90 dana</t>
  </si>
  <si>
    <t>Dospjele obveze od 91 do 120 dana</t>
  </si>
  <si>
    <t>Dospjele obveze od 121 do 150 dana</t>
  </si>
  <si>
    <t>Dospjele obveze od 151 do 180 dana</t>
  </si>
  <si>
    <t>Dospjele obveze od 181 do 365 dana</t>
  </si>
  <si>
    <t>Dospjele obveze od 366 do 730 dana</t>
  </si>
  <si>
    <t>Dospjele obveze preko 730 dana</t>
  </si>
  <si>
    <t>Koliko dana kasni najstarija dospjela obveza (u danima)</t>
  </si>
  <si>
    <t>Za lijekove</t>
  </si>
  <si>
    <t>Za sanitetski materijal, krvi i krvne derivate i sl.</t>
  </si>
  <si>
    <t>Za živežne namirnice</t>
  </si>
  <si>
    <t>Za energiju</t>
  </si>
  <si>
    <t>Za ostale materijale i reprodukcijski  materijal</t>
  </si>
  <si>
    <t>Za proizvodne i neproizvodne usluge</t>
  </si>
  <si>
    <t>Za opremu ( osnovna sredstva)</t>
  </si>
  <si>
    <t>Obveze prema zaposlenicima</t>
  </si>
  <si>
    <t xml:space="preserve">Obveze za usluge drugih zdravstvenih ustanova                                   </t>
  </si>
  <si>
    <t>Obveze prema komitentnim bankama za kredite</t>
  </si>
  <si>
    <t>Ostale nespomenute obveze</t>
  </si>
  <si>
    <t>Obveze prema HZZO za manje izvršen rad</t>
  </si>
  <si>
    <r>
      <t xml:space="preserve"> SVEUKUPNE OBVEZE</t>
    </r>
    <r>
      <rPr>
        <sz val="9"/>
        <color indexed="8"/>
        <rFont val="Arial"/>
        <family val="2"/>
        <charset val="238"/>
      </rPr>
      <t>:</t>
    </r>
  </si>
  <si>
    <t>Napomena: Dospjele obveze po ročnosti trebaju odgovarati koloni 2 (ukupne dospjele obveze)</t>
  </si>
  <si>
    <t>Dani dospjelosti ne računaju se od dana izdavanja računa, nego od dana dospjelosti računa</t>
  </si>
  <si>
    <t>TABLICA 12</t>
  </si>
  <si>
    <t>Thalassotherapia Opatija - Specijalna bolnica za medicinsku rehabilitaciju bolesti srca, pluća i reumatizma</t>
  </si>
  <si>
    <r>
      <t xml:space="preserve">4. IZMJENE I DOPUNE FINANCIJSKOG PLANA RASHODA I IZDATAKA ZA 2022. GODINU S </t>
    </r>
    <r>
      <rPr>
        <sz val="16"/>
        <color rgb="FFFF0000"/>
        <rFont val="Arial"/>
        <family val="2"/>
      </rPr>
      <t>PRERASPODJELOM</t>
    </r>
  </si>
  <si>
    <t>len</t>
  </si>
  <si>
    <t>Račun iz raču. Pl.</t>
  </si>
  <si>
    <t>Naziv</t>
  </si>
  <si>
    <t>REBALANS 4 ZA 2022. GOD</t>
  </si>
  <si>
    <t>IZVRŠENJE 12/2022</t>
  </si>
  <si>
    <t>RAZLIKA IZVRŠENJE - PLAN</t>
  </si>
  <si>
    <t>INDEKS</t>
  </si>
  <si>
    <t>3</t>
  </si>
  <si>
    <t>Rashodi poslovanja</t>
  </si>
  <si>
    <t>31</t>
  </si>
  <si>
    <t>Rashodi za zaposlene</t>
  </si>
  <si>
    <t>311</t>
  </si>
  <si>
    <t>Plaće (Bruto)</t>
  </si>
  <si>
    <t>3111</t>
  </si>
  <si>
    <t>Plaće za redovan rad</t>
  </si>
  <si>
    <t>3113</t>
  </si>
  <si>
    <t>Plaće za prekovremeni rad</t>
  </si>
  <si>
    <t>3114</t>
  </si>
  <si>
    <t>Plaće za posebne uvjete rada</t>
  </si>
  <si>
    <t>Ostali rashodi za zaposlene</t>
  </si>
  <si>
    <t>3121</t>
  </si>
  <si>
    <t>3132</t>
  </si>
  <si>
    <t>Doprinosi za obvezno zdravstveno osiguranje</t>
  </si>
  <si>
    <t>Doprinosi za zapošljavanje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</si>
  <si>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</si>
  <si>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</si>
  <si>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</si>
  <si>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</si>
  <si>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</si>
  <si>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</si>
  <si>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</si>
  <si>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Nakn. za prijev. rad na ter. odv. Živ.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</si>
  <si>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</si>
  <si>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</si>
  <si>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</si>
  <si>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</si>
  <si>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</si>
  <si>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</si>
  <si>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X 5%</t>
  </si>
  <si>
    <t>3221</t>
  </si>
  <si>
    <t>Uredski materijal i ostali mat. rashodi</t>
  </si>
  <si>
    <t>3222</t>
  </si>
  <si>
    <t>Materijal i sirovine</t>
  </si>
  <si>
    <t>PRERASPODJELA +918.616,00</t>
  </si>
  <si>
    <t>3223</t>
  </si>
  <si>
    <t>Energija</t>
  </si>
  <si>
    <t>3224</t>
  </si>
  <si>
    <t>Materijal i dijel. za tek. i invest. Održ.</t>
  </si>
  <si>
    <t>3225</t>
  </si>
  <si>
    <t>Sitni inventar i auto gume</t>
  </si>
  <si>
    <t>3227</t>
  </si>
  <si>
    <t>Službena, radna i zašt.odjeća i ob.</t>
  </si>
  <si>
    <t>323</t>
  </si>
  <si>
    <t>Rashodi za usluge</t>
  </si>
  <si>
    <t>3231</t>
  </si>
  <si>
    <t>Usluge telefona, pošte i prijevoza</t>
  </si>
  <si>
    <t>3232</t>
  </si>
  <si>
    <t>Usluge tekućeg i inv.  održavanja</t>
  </si>
  <si>
    <t>PRERASPODJELA -918.616,00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</si>
  <si>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</si>
  <si>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</si>
  <si>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</si>
  <si>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</si>
  <si>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</si>
  <si>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</si>
  <si>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</si>
  <si>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</si>
  <si>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</si>
  <si>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</si>
  <si>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</si>
  <si>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</si>
  <si>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</si>
  <si>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</si>
  <si>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</si>
  <si>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</si>
  <si>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</si>
  <si>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 xml:space="preserve">Nakn. trošk. osob. izvan radn. odnosa </t>
  </si>
  <si>
    <t>329</t>
  </si>
  <si>
    <t>Ostali nespomenuti rashodi poslovanja</t>
  </si>
  <si>
    <t>3291</t>
  </si>
  <si>
    <t>Naknade za rad predst.i izvrš. tijela, povjer. i slično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</si>
  <si>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</si>
  <si>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</si>
  <si>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</si>
  <si>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</si>
  <si>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</si>
  <si>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</si>
  <si>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</si>
  <si>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</si>
  <si>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</si>
  <si>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</si>
  <si>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</si>
  <si>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Ostali nespomenuti rashodi posl.</t>
  </si>
  <si>
    <t>34</t>
  </si>
  <si>
    <t>Kamate za primlj. Kredite</t>
  </si>
  <si>
    <t>Kam. za primlj kredite od krd. Inst.</t>
  </si>
  <si>
    <t>343</t>
  </si>
  <si>
    <t>Ostali financijski rashodi</t>
  </si>
  <si>
    <t>3431</t>
  </si>
  <si>
    <t>Bank. usluge i usluge platnog prom.</t>
  </si>
  <si>
    <t>3432</t>
  </si>
  <si>
    <t xml:space="preserve">Negativne tečajne razlike </t>
  </si>
  <si>
    <t>3433</t>
  </si>
  <si>
    <t>Zatezne kamate</t>
  </si>
  <si>
    <t>3434</t>
  </si>
  <si>
    <t>Ostali nespomenuti financijski rashodi</t>
  </si>
  <si>
    <t>Ostali rash. za zaposl.</t>
  </si>
  <si>
    <t>Kazne, penali i nakn. štete</t>
  </si>
  <si>
    <t>Nakn šteta pravnim i fizičkim osobama</t>
  </si>
  <si>
    <t>4</t>
  </si>
  <si>
    <t>Rashodi za nabavu nefinancijske imovine</t>
  </si>
  <si>
    <t>41</t>
  </si>
  <si>
    <t>Rash. za nabavu neproizv. Dugotr. imovine</t>
  </si>
  <si>
    <t>412</t>
  </si>
  <si>
    <t>Nematerijalna imovina</t>
  </si>
  <si>
    <t>4123</t>
  </si>
  <si>
    <t>Licence</t>
  </si>
  <si>
    <t>Ostala nematerijalna imovina</t>
  </si>
  <si>
    <t>42</t>
  </si>
  <si>
    <t>Rash. za nabavu proizv. dugotr. imovine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</si>
  <si>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</si>
  <si>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</si>
  <si>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</si>
  <si>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</si>
  <si>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</si>
  <si>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</si>
  <si>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</si>
  <si>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</si>
  <si>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4224</t>
  </si>
  <si>
    <t>Medicinska i laboratorijska oprema</t>
  </si>
  <si>
    <t>4227</t>
  </si>
  <si>
    <t>Uređaji, strojevi i oprema za ostale namjene</t>
  </si>
  <si>
    <t>426</t>
  </si>
  <si>
    <t>Nematerijalna proizvedena imovina</t>
  </si>
  <si>
    <t>4262</t>
  </si>
  <si>
    <t>Ulaganja u računalne programe</t>
  </si>
  <si>
    <t>Rashodi za dodatna ulaganja na nefinancijskoj imovini</t>
  </si>
  <si>
    <t>Dodatna ulaganja na građevinskim objektima</t>
  </si>
  <si>
    <t>Izd. Za financ.imov.i otplate zajmova</t>
  </si>
  <si>
    <t>Izdaci za otpl. Glavn. Primljenih zajmova</t>
  </si>
  <si>
    <t>Otplata glavn. Primlj. Zajmova od kred. Institituc.</t>
  </si>
  <si>
    <t>Otplata glavn. Primlj. Kred. Dugoročni</t>
  </si>
  <si>
    <t>PRIHODI</t>
  </si>
  <si>
    <t>RASHODI</t>
  </si>
  <si>
    <t>RAZLIKA</t>
  </si>
  <si>
    <t>4. IZMJENE I DOPUNE FINANCIJSKOG PLANA PRIHODA I PRIMITAKA 2022.</t>
  </si>
  <si>
    <t>u kunama</t>
  </si>
  <si>
    <t>Izvor prihoda i primitaka</t>
  </si>
  <si>
    <r>
      <rPr>
        <b/>
        <sz val="10"/>
        <color rgb="FFFF0000"/>
        <rFont val="Arial"/>
        <family val="2"/>
      </rPr>
      <t>REBALANS 4</t>
    </r>
    <r>
      <rPr>
        <b/>
        <sz val="10"/>
        <rFont val="Arial"/>
        <family val="2"/>
        <charset val="238"/>
      </rPr>
      <t xml:space="preserve"> - FINANCIJSKI PLAN ZA 2022. GODINU</t>
    </r>
  </si>
  <si>
    <t>Oznaka                           rač.iz                                      računskog                                         plana</t>
  </si>
  <si>
    <t>Porezni i ostali prihodi - 111 (90)</t>
  </si>
  <si>
    <t>Prenesena sredstva - opći prihodi i primici - 1813 (91)</t>
  </si>
  <si>
    <t>Opći prihodi i primici - DEC - 445 (30)</t>
  </si>
  <si>
    <t>Vlastiti prihodi - 321 (20)</t>
  </si>
  <si>
    <t>Prihodi za posebne namjene - 431 (10)</t>
  </si>
  <si>
    <t>Pomoći - 521 (40)</t>
  </si>
  <si>
    <t>Donacije - 621 (50)</t>
  </si>
  <si>
    <t>Prihodi od prodaje nefinancijske imovine i nadoknade šteta s osnova osiguranja - 731 (60)</t>
  </si>
  <si>
    <t>Prenesena sredstva - donacije - 682 (83)</t>
  </si>
  <si>
    <t>UKUPNO REBALANS 4</t>
  </si>
  <si>
    <t>RAZLIKA IZVRŠENJE   - PLAN</t>
  </si>
  <si>
    <t>63414 pomoći od HZMO, HZZ, HZZO</t>
  </si>
  <si>
    <t>63612 tek.pom. iz drž. pror. prorač korisn. Pror. JLP(R)S</t>
  </si>
  <si>
    <t>64132 kamate</t>
  </si>
  <si>
    <t>64143 zatezne kamate</t>
  </si>
  <si>
    <t>64151 pozitivne tečajne razlike</t>
  </si>
  <si>
    <t>65264 dopunsko</t>
  </si>
  <si>
    <t>65267 refund.osig.</t>
  </si>
  <si>
    <t>66151 vlastiti prihodi</t>
  </si>
  <si>
    <t>66311 tekuće donacije od fizičkih osoba</t>
  </si>
  <si>
    <t>66313 tekuće donacije</t>
  </si>
  <si>
    <t>66323 kapitalne donacije</t>
  </si>
  <si>
    <t>67111 prih.za finan.rashoda-pgž</t>
  </si>
  <si>
    <t>67121, prih.za nab. nefinanc. imovine</t>
  </si>
  <si>
    <t>67141 prih.iz nadl. prorač. za financ. izdataka za otplatu zajmova</t>
  </si>
  <si>
    <t>67311 HZZO</t>
  </si>
  <si>
    <t>68311 ostali prihodi</t>
  </si>
  <si>
    <t>72111 prih.od prod.stamb.objek.</t>
  </si>
  <si>
    <t>92211 višak prih.posl.</t>
  </si>
  <si>
    <t>Ukupno (po izvorima)</t>
  </si>
  <si>
    <t>Ukupno prihodi i primici za 2021.</t>
  </si>
  <si>
    <t>Radovi u hodniku i na stolariji Europa 2</t>
  </si>
  <si>
    <t>TABLICA 13</t>
  </si>
  <si>
    <t>TABLICA 14</t>
  </si>
  <si>
    <r>
      <t xml:space="preserve"> </t>
    </r>
    <r>
      <rPr>
        <b/>
        <sz val="11"/>
        <color indexed="8"/>
        <rFont val="Arial"/>
        <family val="2"/>
        <charset val="238"/>
      </rPr>
      <t>ZDRAVSTVENA USTANOVA</t>
    </r>
  </si>
  <si>
    <t>THALASSOTHERAPIA OPATIJA</t>
  </si>
  <si>
    <t>POTRAŽIVANJA</t>
  </si>
  <si>
    <t>Potraživanja na dan 31.12.2022.</t>
  </si>
  <si>
    <t>Ukupno dospjela potraživanja</t>
  </si>
  <si>
    <t>Dospjela potraživanja do 60 dana</t>
  </si>
  <si>
    <t>Dospjelo od 61 do 90 dana</t>
  </si>
  <si>
    <t>Dospjelo od 91 do 120 dana</t>
  </si>
  <si>
    <t>Dospjelo od 121 do 150 dana</t>
  </si>
  <si>
    <t>Dospjelo od 151 do 180 dana</t>
  </si>
  <si>
    <t>Dospjelo od 181 do 365 dana</t>
  </si>
  <si>
    <t>Dospjelo od 366 do 730 dana</t>
  </si>
  <si>
    <t>Dospjelo preko 730 dana</t>
  </si>
  <si>
    <t>Koliko dana kasni najstarije dospjelo potraživanje (u danima)</t>
  </si>
  <si>
    <t>Potraživanja od HZZO-a po osnovu pružanja zdravstvene zaštite</t>
  </si>
  <si>
    <t>Potraživanja od HZZO-a temeljem ugovora za usluge pružene izvan ugovorenog limita*</t>
  </si>
  <si>
    <t xml:space="preserve">Potraživanja od dopunskog zdravstvenog osiguranja </t>
  </si>
  <si>
    <t xml:space="preserve">Potraživanja s osnova ozljeda na radu i profesionalne bolesti </t>
  </si>
  <si>
    <t>Potraživanja od drugih zdravstvenih ustanova</t>
  </si>
  <si>
    <t>Ostala potraživanja</t>
  </si>
  <si>
    <t>UKUPNO:</t>
  </si>
  <si>
    <t xml:space="preserve">* Iskazati potraživanja od HZZO-a temeljem ugovora za posebno skupe lijekove, transplantacije, eksplantacije, umjetne pužnice, </t>
  </si>
  <si>
    <t xml:space="preserve">    intervencijsku kardiologiju, zdrav. zaštitu hrvatskih državljana s prebivalištem u BiH i dr.   </t>
  </si>
  <si>
    <t xml:space="preserve">      Potraživanja od HZZO-a - refundacije za bolovanja - iskažite sa ostalim potraživanjima.</t>
  </si>
  <si>
    <t xml:space="preserve">      Napomena: Dospjela potraživanja po ročnosti trebaju odgovarati koloni 2 (ukupna dospjela potraživanja)</t>
  </si>
  <si>
    <r>
      <rPr>
        <b/>
        <sz val="10"/>
        <color indexed="8"/>
        <rFont val="Arial"/>
        <family val="2"/>
        <charset val="238"/>
      </rPr>
      <t xml:space="preserve">     </t>
    </r>
    <r>
      <rPr>
        <b/>
        <u/>
        <sz val="10"/>
        <color indexed="8"/>
        <rFont val="Arial"/>
        <family val="2"/>
        <charset val="238"/>
      </rPr>
      <t xml:space="preserve"> Dani dospjelosti ne računaju se od dana izdavanja računa, nego od dana dospjelosti računa</t>
    </r>
  </si>
  <si>
    <t>TABLICA 15</t>
  </si>
</sst>
</file>

<file path=xl/styles.xml><?xml version="1.0" encoding="utf-8"?>
<styleSheet xmlns="http://schemas.openxmlformats.org/spreadsheetml/2006/main">
  <numFmts count="7">
    <numFmt numFmtId="43" formatCode="_-* #,##0.00_-;\-* #,##0.00_-;_-* &quot;-&quot;??_-;_-@_-"/>
    <numFmt numFmtId="164" formatCode="#,##0.00\ [$kn-41A]"/>
    <numFmt numFmtId="165" formatCode="_-* #,##0.00\ [$kn-41A]_-;\-* #,##0.00\ [$kn-41A]_-;_-* &quot;-&quot;??\ [$kn-41A]_-;_-@_-"/>
    <numFmt numFmtId="166" formatCode="_-* #,##0.00\ _k_n_-;\-* #,##0.00\ _k_n_-;_-* &quot;-&quot;??\ _k_n_-;_-@_-"/>
    <numFmt numFmtId="167" formatCode="_-* #,##0\ _k_n_-;\-* #,##0\ _k_n_-;_-* &quot;-&quot;??\ _k_n_-;_-@_-"/>
    <numFmt numFmtId="168" formatCode="_-* #,##0\ _k_n_-;\-* #,##0\ _k_n_-;_-* &quot;-&quot;\ _k_n_-;_-@_-"/>
    <numFmt numFmtId="172" formatCode="#,##0.00\ &quot;kn&quot;;[Red]\-#,##0.00\ &quot;kn&quot;"/>
  </numFmts>
  <fonts count="11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Arial"/>
    </font>
    <font>
      <sz val="12"/>
      <color theme="1"/>
      <name val="Times New Roman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b/>
      <sz val="14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color indexed="8"/>
      <name val="Calibri"/>
      <family val="2"/>
      <scheme val="minor"/>
    </font>
    <font>
      <strike/>
      <sz val="9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i/>
      <sz val="10"/>
      <name val="Calibri"/>
      <family val="2"/>
      <scheme val="minor"/>
    </font>
    <font>
      <b/>
      <sz val="1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name val="Arial"/>
      <family val="2"/>
    </font>
    <font>
      <sz val="14"/>
      <color theme="1"/>
      <name val="Calibri"/>
      <family val="2"/>
      <charset val="238"/>
      <scheme val="minor"/>
    </font>
    <font>
      <b/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12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theme="1"/>
      <name val="Times New Roman"/>
      <family val="1"/>
    </font>
    <font>
      <sz val="14"/>
      <color theme="1"/>
      <name val="Times New Roman"/>
      <family val="1"/>
      <charset val="238"/>
    </font>
    <font>
      <b/>
      <sz val="20"/>
      <color theme="1"/>
      <name val="Calibri"/>
      <family val="2"/>
      <scheme val="minor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u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name val="Arial"/>
      <family val="2"/>
      <charset val="238"/>
    </font>
    <font>
      <b/>
      <sz val="12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u/>
      <sz val="12"/>
      <color theme="1"/>
      <name val="Times New Roman"/>
      <family val="2"/>
      <charset val="238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Times New Roman"/>
      <family val="2"/>
      <charset val="238"/>
    </font>
    <font>
      <sz val="10"/>
      <color indexed="8"/>
      <name val="MS Sans Serif"/>
      <family val="2"/>
    </font>
    <font>
      <b/>
      <sz val="10"/>
      <color indexed="8"/>
      <name val="Arial"/>
      <family val="2"/>
    </font>
    <font>
      <sz val="16"/>
      <color theme="1"/>
      <name val="Arial"/>
      <family val="2"/>
      <charset val="238"/>
    </font>
    <font>
      <sz val="16"/>
      <color rgb="FFFF0000"/>
      <name val="Arial"/>
      <family val="2"/>
    </font>
    <font>
      <b/>
      <sz val="10"/>
      <color rgb="FF000000"/>
      <name val="Arial"/>
      <family val="2"/>
      <charset val="238"/>
    </font>
    <font>
      <b/>
      <sz val="12"/>
      <color theme="1"/>
      <name val="Arial"/>
      <family val="2"/>
    </font>
    <font>
      <b/>
      <sz val="12"/>
      <color rgb="FF000000"/>
      <name val="Arial"/>
      <family val="2"/>
      <charset val="238"/>
    </font>
    <font>
      <b/>
      <sz val="12"/>
      <color indexed="8"/>
      <name val="Arial"/>
      <family val="2"/>
      <charset val="238"/>
    </font>
    <font>
      <sz val="9"/>
      <color indexed="8"/>
      <name val="Arial"/>
      <family val="2"/>
    </font>
    <font>
      <b/>
      <sz val="9"/>
      <color rgb="FF000000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9"/>
      <color indexed="8"/>
      <name val="Arial"/>
      <family val="2"/>
    </font>
    <font>
      <sz val="8"/>
      <color rgb="FF000000"/>
      <name val="Arial"/>
      <family val="2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  <charset val="238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  <font>
      <sz val="11"/>
      <color theme="1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theme="1"/>
      <name val="Arial"/>
      <family val="2"/>
      <charset val="238"/>
    </font>
    <font>
      <b/>
      <u/>
      <sz val="10"/>
      <color indexed="8"/>
      <name val="Arial"/>
      <family val="2"/>
      <charset val="238"/>
    </font>
  </fonts>
  <fills count="47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EDEFA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8DDF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9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0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4" borderId="0" applyNumberFormat="0" applyBorder="0" applyAlignment="0" applyProtection="0"/>
    <xf numFmtId="0" fontId="11" fillId="6" borderId="0" applyNumberFormat="0" applyBorder="0" applyAlignment="0" applyProtection="0"/>
    <xf numFmtId="0" fontId="11" fillId="3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6" borderId="0" applyNumberFormat="0" applyBorder="0" applyAlignment="0" applyProtection="0"/>
    <xf numFmtId="0" fontId="11" fillId="4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8" borderId="0" applyNumberFormat="0" applyBorder="0" applyAlignment="0" applyProtection="0"/>
    <xf numFmtId="0" fontId="12" fillId="6" borderId="0" applyNumberFormat="0" applyBorder="0" applyAlignment="0" applyProtection="0"/>
    <xf numFmtId="0" fontId="12" fillId="3" borderId="0" applyNumberFormat="0" applyBorder="0" applyAlignment="0" applyProtection="0"/>
    <xf numFmtId="0" fontId="12" fillId="11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3" fillId="15" borderId="0" applyNumberFormat="0" applyBorder="0" applyAlignment="0" applyProtection="0"/>
    <xf numFmtId="0" fontId="14" fillId="16" borderId="25" applyNumberFormat="0" applyAlignment="0" applyProtection="0"/>
    <xf numFmtId="0" fontId="15" fillId="17" borderId="26" applyNumberFormat="0" applyAlignment="0" applyProtection="0"/>
    <xf numFmtId="0" fontId="16" fillId="0" borderId="0" applyNumberFormat="0" applyFill="0" applyBorder="0" applyAlignment="0" applyProtection="0"/>
    <xf numFmtId="0" fontId="17" fillId="6" borderId="0" applyNumberFormat="0" applyBorder="0" applyAlignment="0" applyProtection="0"/>
    <xf numFmtId="0" fontId="18" fillId="0" borderId="27" applyNumberFormat="0" applyFill="0" applyAlignment="0" applyProtection="0"/>
    <xf numFmtId="0" fontId="19" fillId="0" borderId="28" applyNumberFormat="0" applyFill="0" applyAlignment="0" applyProtection="0"/>
    <xf numFmtId="0" fontId="20" fillId="0" borderId="29" applyNumberFormat="0" applyFill="0" applyAlignment="0" applyProtection="0"/>
    <xf numFmtId="0" fontId="20" fillId="0" borderId="0" applyNumberFormat="0" applyFill="0" applyBorder="0" applyAlignment="0" applyProtection="0"/>
    <xf numFmtId="0" fontId="21" fillId="7" borderId="25" applyNumberFormat="0" applyAlignment="0" applyProtection="0"/>
    <xf numFmtId="0" fontId="22" fillId="0" borderId="30" applyNumberFormat="0" applyFill="0" applyAlignment="0" applyProtection="0"/>
    <xf numFmtId="0" fontId="23" fillId="7" borderId="0" applyNumberFormat="0" applyBorder="0" applyAlignment="0" applyProtection="0"/>
    <xf numFmtId="0" fontId="24" fillId="0" borderId="0"/>
    <xf numFmtId="0" fontId="25" fillId="0" borderId="0"/>
    <xf numFmtId="0" fontId="7" fillId="0" borderId="0"/>
    <xf numFmtId="0" fontId="24" fillId="4" borderId="31" applyNumberFormat="0" applyFont="0" applyAlignment="0" applyProtection="0"/>
    <xf numFmtId="0" fontId="11" fillId="0" borderId="0"/>
    <xf numFmtId="0" fontId="26" fillId="0" borderId="0"/>
    <xf numFmtId="0" fontId="27" fillId="0" borderId="0"/>
    <xf numFmtId="0" fontId="28" fillId="0" borderId="0"/>
    <xf numFmtId="0" fontId="5" fillId="0" borderId="0"/>
    <xf numFmtId="0" fontId="24" fillId="0" borderId="0"/>
    <xf numFmtId="0" fontId="24" fillId="0" borderId="0"/>
    <xf numFmtId="0" fontId="26" fillId="0" borderId="0"/>
    <xf numFmtId="0" fontId="26" fillId="0" borderId="0"/>
    <xf numFmtId="0" fontId="29" fillId="0" borderId="0"/>
    <xf numFmtId="0" fontId="30" fillId="16" borderId="32" applyNumberFormat="0" applyAlignment="0" applyProtection="0"/>
    <xf numFmtId="0" fontId="31" fillId="0" borderId="0" applyNumberFormat="0" applyFill="0" applyBorder="0" applyAlignment="0" applyProtection="0"/>
    <xf numFmtId="0" fontId="32" fillId="0" borderId="33" applyNumberFormat="0" applyFill="0" applyAlignment="0" applyProtection="0"/>
    <xf numFmtId="0" fontId="22" fillId="0" borderId="0" applyNumberFormat="0" applyFill="0" applyBorder="0" applyAlignment="0" applyProtection="0"/>
    <xf numFmtId="166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89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943">
    <xf numFmtId="0" fontId="0" fillId="0" borderId="0" xfId="0"/>
    <xf numFmtId="0" fontId="6" fillId="0" borderId="0" xfId="0" applyFont="1"/>
    <xf numFmtId="0" fontId="0" fillId="0" borderId="0" xfId="0" applyFill="1" applyBorder="1"/>
    <xf numFmtId="3" fontId="0" fillId="0" borderId="0" xfId="0" applyNumberFormat="1"/>
    <xf numFmtId="0" fontId="33" fillId="0" borderId="0" xfId="42" applyFont="1" applyBorder="1"/>
    <xf numFmtId="0" fontId="34" fillId="0" borderId="0" xfId="41" applyFont="1"/>
    <xf numFmtId="0" fontId="35" fillId="18" borderId="20" xfId="41" applyFont="1" applyFill="1" applyBorder="1"/>
    <xf numFmtId="0" fontId="36" fillId="18" borderId="10" xfId="41" applyFont="1" applyFill="1" applyBorder="1"/>
    <xf numFmtId="0" fontId="37" fillId="0" borderId="0" xfId="0" applyFont="1"/>
    <xf numFmtId="0" fontId="38" fillId="0" borderId="0" xfId="41" applyFont="1" applyFill="1" applyBorder="1"/>
    <xf numFmtId="0" fontId="4" fillId="0" borderId="0" xfId="0" applyFont="1"/>
    <xf numFmtId="0" fontId="39" fillId="19" borderId="0" xfId="42" applyFont="1" applyFill="1" applyBorder="1"/>
    <xf numFmtId="0" fontId="39" fillId="0" borderId="0" xfId="42" applyFont="1" applyFill="1" applyBorder="1"/>
    <xf numFmtId="0" fontId="40" fillId="0" borderId="0" xfId="42" applyFont="1" applyBorder="1"/>
    <xf numFmtId="0" fontId="36" fillId="0" borderId="0" xfId="41" applyFont="1" applyFill="1" applyBorder="1"/>
    <xf numFmtId="0" fontId="40" fillId="0" borderId="1" xfId="42" applyFont="1" applyFill="1" applyBorder="1" applyAlignment="1">
      <alignment horizontal="left"/>
    </xf>
    <xf numFmtId="0" fontId="39" fillId="0" borderId="1" xfId="42" applyFont="1" applyBorder="1" applyAlignment="1">
      <alignment horizontal="center" wrapText="1"/>
    </xf>
    <xf numFmtId="3" fontId="40" fillId="0" borderId="34" xfId="42" applyNumberFormat="1" applyFont="1" applyBorder="1" applyAlignment="1">
      <alignment horizontal="center" wrapText="1"/>
    </xf>
    <xf numFmtId="3" fontId="40" fillId="0" borderId="35" xfId="42" applyNumberFormat="1" applyFont="1" applyBorder="1" applyAlignment="1">
      <alignment horizontal="center" wrapText="1"/>
    </xf>
    <xf numFmtId="3" fontId="40" fillId="0" borderId="36" xfId="42" applyNumberFormat="1" applyFont="1" applyBorder="1" applyAlignment="1">
      <alignment horizontal="center" wrapText="1"/>
    </xf>
    <xf numFmtId="3" fontId="39" fillId="0" borderId="37" xfId="42" applyNumberFormat="1" applyFont="1" applyBorder="1" applyAlignment="1">
      <alignment horizontal="center" wrapText="1"/>
    </xf>
    <xf numFmtId="0" fontId="39" fillId="0" borderId="2" xfId="42" applyFont="1" applyBorder="1" applyAlignment="1">
      <alignment horizontal="center"/>
    </xf>
    <xf numFmtId="0" fontId="41" fillId="0" borderId="37" xfId="41" applyFont="1" applyBorder="1" applyAlignment="1">
      <alignment horizontal="center" wrapText="1"/>
    </xf>
    <xf numFmtId="0" fontId="43" fillId="0" borderId="37" xfId="41" applyFont="1" applyBorder="1" applyAlignment="1">
      <alignment horizontal="center" wrapText="1"/>
    </xf>
    <xf numFmtId="0" fontId="43" fillId="0" borderId="0" xfId="41" applyFont="1" applyBorder="1" applyAlignment="1">
      <alignment horizontal="center"/>
    </xf>
    <xf numFmtId="0" fontId="44" fillId="0" borderId="37" xfId="42" applyFont="1" applyBorder="1" applyAlignment="1">
      <alignment horizontal="center" wrapText="1"/>
    </xf>
    <xf numFmtId="0" fontId="6" fillId="0" borderId="37" xfId="0" applyFont="1" applyBorder="1" applyAlignment="1">
      <alignment wrapText="1"/>
    </xf>
    <xf numFmtId="0" fontId="39" fillId="21" borderId="1" xfId="0" applyFont="1" applyFill="1" applyBorder="1" applyAlignment="1">
      <alignment wrapText="1"/>
    </xf>
    <xf numFmtId="0" fontId="39" fillId="0" borderId="37" xfId="0" applyFont="1" applyBorder="1"/>
    <xf numFmtId="167" fontId="39" fillId="0" borderId="37" xfId="55" applyNumberFormat="1" applyFont="1" applyBorder="1"/>
    <xf numFmtId="0" fontId="39" fillId="0" borderId="2" xfId="0" applyFont="1" applyBorder="1"/>
    <xf numFmtId="0" fontId="39" fillId="0" borderId="2" xfId="0" applyFont="1" applyFill="1" applyBorder="1"/>
    <xf numFmtId="0" fontId="43" fillId="0" borderId="3" xfId="41" applyFont="1" applyBorder="1" applyAlignment="1">
      <alignment horizontal="center"/>
    </xf>
    <xf numFmtId="14" fontId="45" fillId="0" borderId="1" xfId="42" applyNumberFormat="1" applyFont="1" applyBorder="1" applyAlignment="1">
      <alignment horizontal="left"/>
    </xf>
    <xf numFmtId="4" fontId="45" fillId="0" borderId="1" xfId="60" applyNumberFormat="1" applyFont="1" applyBorder="1" applyAlignment="1">
      <alignment horizontal="center"/>
    </xf>
    <xf numFmtId="4" fontId="46" fillId="0" borderId="34" xfId="60" applyNumberFormat="1" applyFont="1" applyBorder="1" applyAlignment="1">
      <alignment horizontal="center"/>
    </xf>
    <xf numFmtId="4" fontId="46" fillId="0" borderId="35" xfId="60" applyNumberFormat="1" applyFont="1" applyBorder="1" applyAlignment="1">
      <alignment horizontal="center"/>
    </xf>
    <xf numFmtId="4" fontId="46" fillId="0" borderId="36" xfId="60" applyNumberFormat="1" applyFont="1" applyBorder="1" applyAlignment="1">
      <alignment horizontal="center"/>
    </xf>
    <xf numFmtId="4" fontId="46" fillId="0" borderId="37" xfId="60" applyNumberFormat="1" applyFont="1" applyBorder="1" applyAlignment="1">
      <alignment horizontal="center"/>
    </xf>
    <xf numFmtId="4" fontId="45" fillId="0" borderId="38" xfId="42" applyNumberFormat="1" applyFont="1" applyBorder="1" applyAlignment="1">
      <alignment horizontal="center"/>
    </xf>
    <xf numFmtId="4" fontId="47" fillId="0" borderId="23" xfId="41" applyNumberFormat="1" applyFont="1" applyBorder="1" applyAlignment="1"/>
    <xf numFmtId="4" fontId="47" fillId="0" borderId="2" xfId="41" applyNumberFormat="1" applyFont="1" applyBorder="1" applyAlignment="1"/>
    <xf numFmtId="4" fontId="48" fillId="0" borderId="23" xfId="42" applyNumberFormat="1" applyFont="1" applyBorder="1" applyAlignment="1">
      <alignment horizontal="center"/>
    </xf>
    <xf numFmtId="4" fontId="49" fillId="0" borderId="23" xfId="0" applyNumberFormat="1" applyFont="1" applyBorder="1" applyAlignment="1"/>
    <xf numFmtId="0" fontId="50" fillId="0" borderId="0" xfId="0" applyFont="1" applyAlignment="1"/>
    <xf numFmtId="14" fontId="45" fillId="0" borderId="23" xfId="42" applyNumberFormat="1" applyFont="1" applyBorder="1" applyAlignment="1">
      <alignment horizontal="left"/>
    </xf>
    <xf numFmtId="4" fontId="46" fillId="0" borderId="23" xfId="0" applyNumberFormat="1" applyFont="1" applyBorder="1" applyAlignment="1"/>
    <xf numFmtId="4" fontId="46" fillId="0" borderId="23" xfId="55" applyNumberFormat="1" applyFont="1" applyBorder="1" applyAlignment="1"/>
    <xf numFmtId="4" fontId="46" fillId="0" borderId="38" xfId="0" applyNumberFormat="1" applyFont="1" applyBorder="1" applyAlignment="1"/>
    <xf numFmtId="4" fontId="46" fillId="0" borderId="21" xfId="0" applyNumberFormat="1" applyFont="1" applyBorder="1" applyAlignment="1"/>
    <xf numFmtId="0" fontId="50" fillId="0" borderId="39" xfId="0" applyFont="1" applyBorder="1" applyAlignment="1"/>
    <xf numFmtId="3" fontId="45" fillId="0" borderId="23" xfId="0" applyNumberFormat="1" applyFont="1" applyFill="1" applyBorder="1" applyAlignment="1"/>
    <xf numFmtId="49" fontId="46" fillId="0" borderId="40" xfId="42" applyNumberFormat="1" applyFont="1" applyBorder="1" applyAlignment="1"/>
    <xf numFmtId="4" fontId="45" fillId="0" borderId="40" xfId="60" applyNumberFormat="1" applyFont="1" applyBorder="1" applyAlignment="1">
      <alignment horizontal="center"/>
    </xf>
    <xf numFmtId="4" fontId="46" fillId="0" borderId="41" xfId="60" applyNumberFormat="1" applyFont="1" applyBorder="1" applyAlignment="1">
      <alignment horizontal="center"/>
    </xf>
    <xf numFmtId="4" fontId="46" fillId="0" borderId="42" xfId="42" applyNumberFormat="1" applyFont="1" applyBorder="1" applyAlignment="1">
      <alignment horizontal="center"/>
    </xf>
    <xf numFmtId="4" fontId="46" fillId="0" borderId="43" xfId="60" applyNumberFormat="1" applyFont="1" applyBorder="1" applyAlignment="1">
      <alignment horizontal="center"/>
    </xf>
    <xf numFmtId="4" fontId="45" fillId="0" borderId="15" xfId="60" applyNumberFormat="1" applyFont="1" applyBorder="1" applyAlignment="1">
      <alignment horizontal="center"/>
    </xf>
    <xf numFmtId="4" fontId="48" fillId="0" borderId="16" xfId="42" applyNumberFormat="1" applyFont="1" applyBorder="1" applyAlignment="1">
      <alignment horizontal="center"/>
    </xf>
    <xf numFmtId="4" fontId="47" fillId="0" borderId="15" xfId="41" applyNumberFormat="1" applyFont="1" applyBorder="1" applyAlignment="1">
      <alignment horizontal="center"/>
    </xf>
    <xf numFmtId="4" fontId="47" fillId="0" borderId="12" xfId="41" applyNumberFormat="1" applyFont="1" applyBorder="1" applyAlignment="1">
      <alignment horizontal="center"/>
    </xf>
    <xf numFmtId="4" fontId="48" fillId="0" borderId="15" xfId="60" applyNumberFormat="1" applyFont="1" applyBorder="1" applyAlignment="1">
      <alignment horizontal="center"/>
    </xf>
    <xf numFmtId="4" fontId="51" fillId="0" borderId="15" xfId="0" applyNumberFormat="1" applyFont="1" applyBorder="1" applyAlignment="1">
      <alignment horizontal="center"/>
    </xf>
    <xf numFmtId="4" fontId="46" fillId="0" borderId="15" xfId="0" applyNumberFormat="1" applyFont="1" applyBorder="1" applyAlignment="1"/>
    <xf numFmtId="4" fontId="46" fillId="0" borderId="15" xfId="55" applyNumberFormat="1" applyFont="1" applyBorder="1" applyAlignment="1"/>
    <xf numFmtId="4" fontId="46" fillId="0" borderId="16" xfId="0" applyNumberFormat="1" applyFont="1" applyBorder="1" applyAlignment="1"/>
    <xf numFmtId="4" fontId="46" fillId="0" borderId="44" xfId="0" applyNumberFormat="1" applyFont="1" applyBorder="1" applyAlignment="1"/>
    <xf numFmtId="0" fontId="47" fillId="0" borderId="40" xfId="41" applyFont="1" applyBorder="1" applyAlignment="1">
      <alignment horizontal="center"/>
    </xf>
    <xf numFmtId="3" fontId="45" fillId="0" borderId="15" xfId="0" applyNumberFormat="1" applyFont="1" applyFill="1" applyBorder="1" applyAlignment="1"/>
    <xf numFmtId="4" fontId="47" fillId="0" borderId="16" xfId="41" applyNumberFormat="1" applyFont="1" applyBorder="1" applyAlignment="1">
      <alignment horizontal="center"/>
    </xf>
    <xf numFmtId="49" fontId="46" fillId="0" borderId="45" xfId="42" applyNumberFormat="1" applyFont="1" applyBorder="1" applyAlignment="1"/>
    <xf numFmtId="4" fontId="45" fillId="0" borderId="45" xfId="60" applyNumberFormat="1" applyFont="1" applyBorder="1" applyAlignment="1">
      <alignment horizontal="center"/>
    </xf>
    <xf numFmtId="4" fontId="46" fillId="0" borderId="46" xfId="60" applyNumberFormat="1" applyFont="1" applyBorder="1" applyAlignment="1">
      <alignment horizontal="center"/>
    </xf>
    <xf numFmtId="4" fontId="46" fillId="0" borderId="47" xfId="42" applyNumberFormat="1" applyFont="1" applyBorder="1" applyAlignment="1">
      <alignment horizontal="center"/>
    </xf>
    <xf numFmtId="4" fontId="46" fillId="0" borderId="18" xfId="60" applyNumberFormat="1" applyFont="1" applyBorder="1" applyAlignment="1">
      <alignment horizontal="center"/>
    </xf>
    <xf numFmtId="4" fontId="45" fillId="0" borderId="17" xfId="60" applyNumberFormat="1" applyFont="1" applyBorder="1" applyAlignment="1">
      <alignment horizontal="center"/>
    </xf>
    <xf numFmtId="4" fontId="48" fillId="0" borderId="18" xfId="42" applyNumberFormat="1" applyFont="1" applyBorder="1" applyAlignment="1">
      <alignment horizontal="center"/>
    </xf>
    <xf numFmtId="4" fontId="47" fillId="0" borderId="17" xfId="41" applyNumberFormat="1" applyFont="1" applyBorder="1" applyAlignment="1">
      <alignment horizontal="center"/>
    </xf>
    <xf numFmtId="4" fontId="47" fillId="0" borderId="18" xfId="41" applyNumberFormat="1" applyFont="1" applyBorder="1" applyAlignment="1">
      <alignment horizontal="center"/>
    </xf>
    <xf numFmtId="4" fontId="48" fillId="0" borderId="17" xfId="60" applyNumberFormat="1" applyFont="1" applyBorder="1" applyAlignment="1">
      <alignment horizontal="center"/>
    </xf>
    <xf numFmtId="4" fontId="51" fillId="0" borderId="17" xfId="0" applyNumberFormat="1" applyFont="1" applyBorder="1" applyAlignment="1">
      <alignment horizontal="center"/>
    </xf>
    <xf numFmtId="4" fontId="46" fillId="0" borderId="17" xfId="0" applyNumberFormat="1" applyFont="1" applyBorder="1" applyAlignment="1"/>
    <xf numFmtId="4" fontId="46" fillId="0" borderId="48" xfId="0" applyNumberFormat="1" applyFont="1" applyBorder="1" applyAlignment="1"/>
    <xf numFmtId="4" fontId="46" fillId="0" borderId="17" xfId="55" applyNumberFormat="1" applyFont="1" applyBorder="1" applyAlignment="1"/>
    <xf numFmtId="4" fontId="46" fillId="0" borderId="18" xfId="0" applyNumberFormat="1" applyFont="1" applyBorder="1" applyAlignment="1"/>
    <xf numFmtId="0" fontId="47" fillId="0" borderId="18" xfId="41" applyFont="1" applyBorder="1" applyAlignment="1">
      <alignment horizontal="center"/>
    </xf>
    <xf numFmtId="3" fontId="45" fillId="0" borderId="17" xfId="0" applyNumberFormat="1" applyFont="1" applyFill="1" applyBorder="1" applyAlignment="1"/>
    <xf numFmtId="16" fontId="46" fillId="0" borderId="49" xfId="42" applyNumberFormat="1" applyFont="1" applyBorder="1" applyAlignment="1">
      <alignment horizontal="left"/>
    </xf>
    <xf numFmtId="3" fontId="52" fillId="0" borderId="49" xfId="60" applyNumberFormat="1" applyFont="1" applyBorder="1" applyAlignment="1">
      <alignment horizontal="center"/>
    </xf>
    <xf numFmtId="3" fontId="52" fillId="0" borderId="13" xfId="60" applyNumberFormat="1" applyFont="1" applyBorder="1" applyAlignment="1">
      <alignment horizontal="center"/>
    </xf>
    <xf numFmtId="3" fontId="52" fillId="0" borderId="50" xfId="60" applyNumberFormat="1" applyFont="1" applyBorder="1" applyAlignment="1">
      <alignment horizontal="center"/>
    </xf>
    <xf numFmtId="3" fontId="52" fillId="0" borderId="12" xfId="60" applyNumberFormat="1" applyFont="1" applyBorder="1" applyAlignment="1">
      <alignment horizontal="center"/>
    </xf>
    <xf numFmtId="3" fontId="52" fillId="0" borderId="11" xfId="60" applyNumberFormat="1" applyFont="1" applyBorder="1" applyAlignment="1">
      <alignment horizontal="center"/>
    </xf>
    <xf numFmtId="3" fontId="44" fillId="0" borderId="12" xfId="42" applyNumberFormat="1" applyFont="1" applyBorder="1" applyAlignment="1">
      <alignment horizontal="center"/>
    </xf>
    <xf numFmtId="167" fontId="41" fillId="0" borderId="11" xfId="61" applyNumberFormat="1" applyFont="1" applyBorder="1" applyAlignment="1">
      <alignment horizontal="center"/>
    </xf>
    <xf numFmtId="3" fontId="43" fillId="0" borderId="11" xfId="41" applyNumberFormat="1" applyFont="1" applyBorder="1" applyAlignment="1">
      <alignment horizontal="center"/>
    </xf>
    <xf numFmtId="3" fontId="43" fillId="0" borderId="0" xfId="41" applyNumberFormat="1" applyFont="1" applyBorder="1" applyAlignment="1">
      <alignment horizontal="center"/>
    </xf>
    <xf numFmtId="3" fontId="52" fillId="0" borderId="11" xfId="42" applyNumberFormat="1" applyFont="1" applyBorder="1" applyAlignment="1">
      <alignment horizontal="center"/>
    </xf>
    <xf numFmtId="3" fontId="4" fillId="0" borderId="11" xfId="0" applyNumberFormat="1" applyFont="1" applyBorder="1" applyAlignment="1">
      <alignment horizontal="center"/>
    </xf>
    <xf numFmtId="167" fontId="0" fillId="0" borderId="0" xfId="0" applyNumberFormat="1"/>
    <xf numFmtId="3" fontId="50" fillId="0" borderId="11" xfId="0" applyNumberFormat="1" applyFont="1" applyBorder="1"/>
    <xf numFmtId="3" fontId="50" fillId="0" borderId="14" xfId="0" applyNumberFormat="1" applyFont="1" applyBorder="1"/>
    <xf numFmtId="3" fontId="50" fillId="0" borderId="11" xfId="55" applyNumberFormat="1" applyFont="1" applyBorder="1"/>
    <xf numFmtId="3" fontId="50" fillId="0" borderId="49" xfId="0" applyNumberFormat="1" applyFont="1" applyBorder="1"/>
    <xf numFmtId="3" fontId="49" fillId="0" borderId="11" xfId="0" applyNumberFormat="1" applyFont="1" applyBorder="1"/>
    <xf numFmtId="3" fontId="37" fillId="0" borderId="12" xfId="0" applyNumberFormat="1" applyFont="1" applyBorder="1" applyAlignment="1">
      <alignment horizontal="center"/>
    </xf>
    <xf numFmtId="3" fontId="50" fillId="0" borderId="11" xfId="0" applyNumberFormat="1" applyFont="1" applyFill="1" applyBorder="1" applyAlignment="1">
      <alignment horizontal="right"/>
    </xf>
    <xf numFmtId="0" fontId="46" fillId="0" borderId="40" xfId="42" applyFont="1" applyBorder="1" applyAlignment="1">
      <alignment horizontal="left"/>
    </xf>
    <xf numFmtId="3" fontId="52" fillId="0" borderId="41" xfId="60" applyNumberFormat="1" applyFont="1" applyBorder="1" applyAlignment="1">
      <alignment horizontal="center"/>
    </xf>
    <xf numFmtId="3" fontId="52" fillId="0" borderId="15" xfId="42" applyNumberFormat="1" applyFont="1" applyBorder="1" applyAlignment="1">
      <alignment horizontal="center"/>
    </xf>
    <xf numFmtId="3" fontId="4" fillId="0" borderId="15" xfId="0" applyNumberFormat="1" applyFont="1" applyBorder="1" applyAlignment="1">
      <alignment horizontal="center"/>
    </xf>
    <xf numFmtId="16" fontId="46" fillId="0" borderId="40" xfId="42" applyNumberFormat="1" applyFont="1" applyBorder="1" applyAlignment="1">
      <alignment horizontal="left"/>
    </xf>
    <xf numFmtId="3" fontId="52" fillId="0" borderId="13" xfId="60" applyNumberFormat="1" applyFont="1" applyFill="1" applyBorder="1" applyAlignment="1">
      <alignment horizontal="center"/>
    </xf>
    <xf numFmtId="3" fontId="52" fillId="0" borderId="50" xfId="60" applyNumberFormat="1" applyFont="1" applyFill="1" applyBorder="1" applyAlignment="1">
      <alignment horizontal="center"/>
    </xf>
    <xf numFmtId="3" fontId="4" fillId="0" borderId="15" xfId="0" applyNumberFormat="1" applyFont="1" applyFill="1" applyBorder="1" applyAlignment="1">
      <alignment horizontal="center"/>
    </xf>
    <xf numFmtId="3" fontId="52" fillId="0" borderId="40" xfId="60" applyNumberFormat="1" applyFont="1" applyBorder="1" applyAlignment="1">
      <alignment horizontal="center"/>
    </xf>
    <xf numFmtId="3" fontId="52" fillId="0" borderId="15" xfId="60" applyNumberFormat="1" applyFont="1" applyBorder="1" applyAlignment="1">
      <alignment horizontal="center"/>
    </xf>
    <xf numFmtId="3" fontId="44" fillId="0" borderId="16" xfId="42" applyNumberFormat="1" applyFont="1" applyBorder="1" applyAlignment="1">
      <alignment horizontal="center"/>
    </xf>
    <xf numFmtId="16" fontId="46" fillId="0" borderId="40" xfId="42" applyNumberFormat="1" applyFont="1" applyFill="1" applyBorder="1" applyAlignment="1">
      <alignment horizontal="left"/>
    </xf>
    <xf numFmtId="3" fontId="52" fillId="0" borderId="40" xfId="60" applyNumberFormat="1" applyFont="1" applyFill="1" applyBorder="1" applyAlignment="1">
      <alignment horizontal="center"/>
    </xf>
    <xf numFmtId="3" fontId="52" fillId="0" borderId="41" xfId="60" applyNumberFormat="1" applyFont="1" applyFill="1" applyBorder="1" applyAlignment="1">
      <alignment horizontal="center"/>
    </xf>
    <xf numFmtId="3" fontId="52" fillId="0" borderId="12" xfId="60" applyNumberFormat="1" applyFont="1" applyFill="1" applyBorder="1" applyAlignment="1">
      <alignment horizontal="center"/>
    </xf>
    <xf numFmtId="3" fontId="52" fillId="0" borderId="42" xfId="60" applyNumberFormat="1" applyFont="1" applyFill="1" applyBorder="1" applyAlignment="1">
      <alignment horizontal="center"/>
    </xf>
    <xf numFmtId="3" fontId="52" fillId="0" borderId="43" xfId="60" applyNumberFormat="1" applyFont="1" applyFill="1" applyBorder="1" applyAlignment="1">
      <alignment horizontal="center"/>
    </xf>
    <xf numFmtId="3" fontId="50" fillId="0" borderId="15" xfId="0" applyNumberFormat="1" applyFont="1" applyBorder="1"/>
    <xf numFmtId="3" fontId="50" fillId="0" borderId="44" xfId="0" applyNumberFormat="1" applyFont="1" applyBorder="1"/>
    <xf numFmtId="3" fontId="50" fillId="0" borderId="40" xfId="0" applyNumberFormat="1" applyFont="1" applyBorder="1"/>
    <xf numFmtId="3" fontId="50" fillId="0" borderId="40" xfId="0" applyNumberFormat="1" applyFont="1" applyBorder="1" applyAlignment="1"/>
    <xf numFmtId="3" fontId="52" fillId="0" borderId="51" xfId="60" applyNumberFormat="1" applyFont="1" applyFill="1" applyBorder="1" applyAlignment="1">
      <alignment horizontal="center"/>
    </xf>
    <xf numFmtId="3" fontId="50" fillId="0" borderId="15" xfId="55" applyNumberFormat="1" applyFont="1" applyBorder="1"/>
    <xf numFmtId="3" fontId="43" fillId="0" borderId="0" xfId="55" applyNumberFormat="1" applyFont="1" applyBorder="1" applyAlignment="1">
      <alignment horizontal="center"/>
    </xf>
    <xf numFmtId="16" fontId="46" fillId="0" borderId="52" xfId="42" applyNumberFormat="1" applyFont="1" applyFill="1" applyBorder="1" applyAlignment="1">
      <alignment horizontal="left"/>
    </xf>
    <xf numFmtId="3" fontId="52" fillId="0" borderId="53" xfId="60" applyNumberFormat="1" applyFont="1" applyFill="1" applyBorder="1" applyAlignment="1">
      <alignment horizontal="center"/>
    </xf>
    <xf numFmtId="3" fontId="52" fillId="0" borderId="54" xfId="60" applyNumberFormat="1" applyFont="1" applyFill="1" applyBorder="1" applyAlignment="1">
      <alignment horizontal="center"/>
    </xf>
    <xf numFmtId="3" fontId="52" fillId="0" borderId="55" xfId="60" applyNumberFormat="1" applyFont="1" applyBorder="1" applyAlignment="1">
      <alignment horizontal="center"/>
    </xf>
    <xf numFmtId="3" fontId="44" fillId="0" borderId="56" xfId="42" applyNumberFormat="1" applyFont="1" applyBorder="1" applyAlignment="1">
      <alignment horizontal="center"/>
    </xf>
    <xf numFmtId="3" fontId="52" fillId="0" borderId="55" xfId="60" applyNumberFormat="1" applyFont="1" applyFill="1" applyBorder="1" applyAlignment="1">
      <alignment horizontal="center"/>
    </xf>
    <xf numFmtId="3" fontId="4" fillId="0" borderId="55" xfId="0" applyNumberFormat="1" applyFont="1" applyBorder="1" applyAlignment="1">
      <alignment horizontal="center"/>
    </xf>
    <xf numFmtId="3" fontId="50" fillId="0" borderId="55" xfId="0" applyNumberFormat="1" applyFont="1" applyBorder="1"/>
    <xf numFmtId="3" fontId="50" fillId="0" borderId="48" xfId="0" applyNumberFormat="1" applyFont="1" applyBorder="1"/>
    <xf numFmtId="3" fontId="50" fillId="0" borderId="17" xfId="0" applyNumberFormat="1" applyFont="1" applyBorder="1"/>
    <xf numFmtId="3" fontId="50" fillId="0" borderId="52" xfId="0" applyNumberFormat="1" applyFont="1" applyBorder="1"/>
    <xf numFmtId="3" fontId="50" fillId="0" borderId="57" xfId="0" applyNumberFormat="1" applyFont="1" applyBorder="1"/>
    <xf numFmtId="0" fontId="49" fillId="0" borderId="20" xfId="0" applyFont="1" applyBorder="1"/>
    <xf numFmtId="3" fontId="44" fillId="0" borderId="20" xfId="60" applyNumberFormat="1" applyFont="1" applyBorder="1" applyAlignment="1">
      <alignment horizontal="center"/>
    </xf>
    <xf numFmtId="3" fontId="52" fillId="0" borderId="7" xfId="60" applyNumberFormat="1" applyFont="1" applyBorder="1" applyAlignment="1">
      <alignment horizontal="center"/>
    </xf>
    <xf numFmtId="3" fontId="52" fillId="0" borderId="20" xfId="60" applyNumberFormat="1" applyFont="1" applyBorder="1" applyAlignment="1">
      <alignment horizontal="center"/>
    </xf>
    <xf numFmtId="3" fontId="44" fillId="0" borderId="7" xfId="60" applyNumberFormat="1" applyFont="1" applyBorder="1" applyAlignment="1">
      <alignment horizontal="center"/>
    </xf>
    <xf numFmtId="3" fontId="44" fillId="0" borderId="8" xfId="60" applyNumberFormat="1" applyFont="1" applyBorder="1" applyAlignment="1">
      <alignment horizontal="center"/>
    </xf>
    <xf numFmtId="168" fontId="36" fillId="0" borderId="7" xfId="62" applyNumberFormat="1" applyFont="1" applyBorder="1" applyAlignment="1">
      <alignment horizontal="center"/>
    </xf>
    <xf numFmtId="3" fontId="43" fillId="0" borderId="7" xfId="41" applyNumberFormat="1" applyFont="1" applyBorder="1" applyAlignment="1">
      <alignment horizontal="center"/>
    </xf>
    <xf numFmtId="3" fontId="4" fillId="0" borderId="7" xfId="0" applyNumberFormat="1" applyFont="1" applyBorder="1" applyAlignment="1">
      <alignment horizontal="center"/>
    </xf>
    <xf numFmtId="3" fontId="50" fillId="0" borderId="7" xfId="0" applyNumberFormat="1" applyFont="1" applyBorder="1"/>
    <xf numFmtId="3" fontId="50" fillId="0" borderId="10" xfId="0" applyNumberFormat="1" applyFont="1" applyBorder="1"/>
    <xf numFmtId="3" fontId="6" fillId="0" borderId="20" xfId="0" applyNumberFormat="1" applyFont="1" applyBorder="1"/>
    <xf numFmtId="3" fontId="53" fillId="0" borderId="20" xfId="0" applyNumberFormat="1" applyFont="1" applyBorder="1" applyAlignment="1">
      <alignment horizontal="center"/>
    </xf>
    <xf numFmtId="3" fontId="50" fillId="0" borderId="7" xfId="0" applyNumberFormat="1" applyFont="1" applyFill="1" applyBorder="1" applyAlignment="1">
      <alignment horizontal="right"/>
    </xf>
    <xf numFmtId="0" fontId="54" fillId="0" borderId="58" xfId="42" applyFont="1" applyBorder="1" applyAlignment="1">
      <alignment horizontal="left"/>
    </xf>
    <xf numFmtId="3" fontId="55" fillId="0" borderId="58" xfId="60" applyNumberFormat="1" applyFont="1" applyBorder="1" applyAlignment="1">
      <alignment horizontal="center"/>
    </xf>
    <xf numFmtId="3" fontId="52" fillId="0" borderId="59" xfId="60" applyNumberFormat="1" applyFont="1" applyBorder="1" applyAlignment="1">
      <alignment horizontal="center"/>
    </xf>
    <xf numFmtId="3" fontId="55" fillId="0" borderId="22" xfId="60" applyNumberFormat="1" applyFont="1" applyBorder="1" applyAlignment="1">
      <alignment horizontal="center"/>
    </xf>
    <xf numFmtId="3" fontId="55" fillId="0" borderId="0" xfId="60" applyNumberFormat="1" applyFont="1" applyBorder="1" applyAlignment="1">
      <alignment horizontal="center"/>
    </xf>
    <xf numFmtId="0" fontId="41" fillId="0" borderId="22" xfId="41" applyFont="1" applyBorder="1" applyAlignment="1">
      <alignment horizontal="center"/>
    </xf>
    <xf numFmtId="3" fontId="43" fillId="0" borderId="22" xfId="41" applyNumberFormat="1" applyFont="1" applyBorder="1" applyAlignment="1">
      <alignment horizontal="center"/>
    </xf>
    <xf numFmtId="3" fontId="55" fillId="0" borderId="22" xfId="42" applyNumberFormat="1" applyFont="1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0" fontId="50" fillId="0" borderId="0" xfId="0" applyFont="1"/>
    <xf numFmtId="0" fontId="50" fillId="0" borderId="0" xfId="0" applyFont="1" applyBorder="1"/>
    <xf numFmtId="0" fontId="50" fillId="0" borderId="0" xfId="0" applyFont="1" applyBorder="1" applyAlignment="1">
      <alignment horizontal="center"/>
    </xf>
    <xf numFmtId="0" fontId="37" fillId="0" borderId="0" xfId="0" applyFont="1" applyBorder="1"/>
    <xf numFmtId="3" fontId="4" fillId="0" borderId="22" xfId="0" applyNumberFormat="1" applyFont="1" applyBorder="1"/>
    <xf numFmtId="0" fontId="54" fillId="22" borderId="60" xfId="42" applyFont="1" applyFill="1" applyBorder="1" applyAlignment="1">
      <alignment horizontal="left"/>
    </xf>
    <xf numFmtId="3" fontId="55" fillId="22" borderId="61" xfId="60" applyNumberFormat="1" applyFont="1" applyFill="1" applyBorder="1" applyAlignment="1">
      <alignment horizontal="center"/>
    </xf>
    <xf numFmtId="3" fontId="56" fillId="22" borderId="60" xfId="60" applyNumberFormat="1" applyFont="1" applyFill="1" applyBorder="1" applyAlignment="1">
      <alignment horizontal="center"/>
    </xf>
    <xf numFmtId="3" fontId="56" fillId="0" borderId="61" xfId="60" applyNumberFormat="1" applyFont="1" applyBorder="1" applyAlignment="1">
      <alignment horizontal="center"/>
    </xf>
    <xf numFmtId="3" fontId="44" fillId="0" borderId="39" xfId="60" applyNumberFormat="1" applyFont="1" applyBorder="1" applyAlignment="1">
      <alignment horizontal="center"/>
    </xf>
    <xf numFmtId="3" fontId="52" fillId="0" borderId="23" xfId="60" applyNumberFormat="1" applyFont="1" applyBorder="1" applyAlignment="1">
      <alignment horizontal="center"/>
    </xf>
    <xf numFmtId="3" fontId="56" fillId="23" borderId="8" xfId="60" applyNumberFormat="1" applyFont="1" applyFill="1" applyBorder="1" applyAlignment="1">
      <alignment horizontal="center"/>
    </xf>
    <xf numFmtId="0" fontId="41" fillId="0" borderId="23" xfId="41" applyFont="1" applyBorder="1" applyAlignment="1">
      <alignment horizontal="center"/>
    </xf>
    <xf numFmtId="3" fontId="43" fillId="0" borderId="23" xfId="41" applyNumberFormat="1" applyFont="1" applyBorder="1" applyAlignment="1">
      <alignment horizontal="center"/>
    </xf>
    <xf numFmtId="3" fontId="48" fillId="0" borderId="23" xfId="60" applyNumberFormat="1" applyFont="1" applyBorder="1" applyAlignment="1">
      <alignment horizontal="center"/>
    </xf>
    <xf numFmtId="3" fontId="51" fillId="0" borderId="23" xfId="0" applyNumberFormat="1" applyFont="1" applyBorder="1" applyAlignment="1">
      <alignment horizontal="center"/>
    </xf>
    <xf numFmtId="0" fontId="46" fillId="22" borderId="60" xfId="42" applyFont="1" applyFill="1" applyBorder="1" applyAlignment="1">
      <alignment horizontal="left" wrapText="1"/>
    </xf>
    <xf numFmtId="3" fontId="57" fillId="0" borderId="61" xfId="60" applyNumberFormat="1" applyFont="1" applyFill="1" applyBorder="1" applyAlignment="1">
      <alignment horizontal="center"/>
    </xf>
    <xf numFmtId="3" fontId="41" fillId="0" borderId="23" xfId="41" applyNumberFormat="1" applyFont="1" applyBorder="1"/>
    <xf numFmtId="3" fontId="37" fillId="0" borderId="21" xfId="0" applyNumberFormat="1" applyFont="1" applyBorder="1"/>
    <xf numFmtId="0" fontId="54" fillId="0" borderId="46" xfId="42" applyFont="1" applyFill="1" applyBorder="1" applyAlignment="1">
      <alignment horizontal="left"/>
    </xf>
    <xf numFmtId="3" fontId="54" fillId="0" borderId="62" xfId="42" applyNumberFormat="1" applyFont="1" applyBorder="1" applyAlignment="1">
      <alignment horizontal="center"/>
    </xf>
    <xf numFmtId="3" fontId="54" fillId="0" borderId="46" xfId="42" applyNumberFormat="1" applyFont="1" applyBorder="1" applyAlignment="1">
      <alignment horizontal="center"/>
    </xf>
    <xf numFmtId="3" fontId="54" fillId="0" borderId="62" xfId="42" applyNumberFormat="1" applyFont="1" applyBorder="1" applyAlignment="1"/>
    <xf numFmtId="3" fontId="48" fillId="0" borderId="45" xfId="61" applyNumberFormat="1" applyFont="1" applyBorder="1" applyAlignment="1"/>
    <xf numFmtId="3" fontId="54" fillId="0" borderId="17" xfId="42" applyNumberFormat="1" applyFont="1" applyBorder="1" applyAlignment="1"/>
    <xf numFmtId="3" fontId="56" fillId="0" borderId="5" xfId="60" applyNumberFormat="1" applyFont="1" applyFill="1" applyBorder="1" applyAlignment="1"/>
    <xf numFmtId="0" fontId="41" fillId="0" borderId="17" xfId="41" applyFont="1" applyBorder="1" applyAlignment="1"/>
    <xf numFmtId="3" fontId="43" fillId="0" borderId="17" xfId="41" applyNumberFormat="1" applyFont="1" applyBorder="1" applyAlignment="1"/>
    <xf numFmtId="3" fontId="43" fillId="0" borderId="0" xfId="41" applyNumberFormat="1" applyFont="1" applyBorder="1" applyAlignment="1"/>
    <xf numFmtId="3" fontId="48" fillId="0" borderId="17" xfId="60" applyNumberFormat="1" applyFont="1" applyFill="1" applyBorder="1" applyAlignment="1"/>
    <xf numFmtId="3" fontId="0" fillId="0" borderId="63" xfId="0" applyNumberFormat="1" applyBorder="1"/>
    <xf numFmtId="3" fontId="0" fillId="0" borderId="17" xfId="0" applyNumberFormat="1" applyBorder="1"/>
    <xf numFmtId="3" fontId="0" fillId="0" borderId="48" xfId="0" applyNumberFormat="1" applyBorder="1"/>
    <xf numFmtId="0" fontId="54" fillId="0" borderId="20" xfId="42" applyFont="1" applyFill="1" applyBorder="1" applyAlignment="1">
      <alignment horizontal="left"/>
    </xf>
    <xf numFmtId="3" fontId="54" fillId="0" borderId="8" xfId="42" applyNumberFormat="1" applyFont="1" applyBorder="1" applyAlignment="1">
      <alignment horizontal="center"/>
    </xf>
    <xf numFmtId="3" fontId="55" fillId="0" borderId="8" xfId="42" applyNumberFormat="1" applyFont="1" applyBorder="1" applyAlignment="1">
      <alignment horizontal="center"/>
    </xf>
    <xf numFmtId="3" fontId="54" fillId="0" borderId="8" xfId="61" applyNumberFormat="1" applyFont="1" applyBorder="1" applyAlignment="1">
      <alignment horizontal="center"/>
    </xf>
    <xf numFmtId="3" fontId="56" fillId="0" borderId="7" xfId="60" applyNumberFormat="1" applyFont="1" applyFill="1" applyBorder="1" applyAlignment="1">
      <alignment horizontal="center"/>
    </xf>
    <xf numFmtId="0" fontId="41" fillId="0" borderId="0" xfId="41" applyFont="1" applyBorder="1" applyAlignment="1">
      <alignment horizontal="center"/>
    </xf>
    <xf numFmtId="3" fontId="48" fillId="0" borderId="0" xfId="60" applyNumberFormat="1" applyFont="1" applyFill="1" applyBorder="1" applyAlignment="1">
      <alignment horizontal="center"/>
    </xf>
    <xf numFmtId="0" fontId="54" fillId="0" borderId="0" xfId="42" applyFont="1" applyFill="1" applyBorder="1" applyAlignment="1">
      <alignment horizontal="left"/>
    </xf>
    <xf numFmtId="167" fontId="0" fillId="0" borderId="0" xfId="0" applyNumberFormat="1" applyBorder="1"/>
    <xf numFmtId="0" fontId="0" fillId="0" borderId="0" xfId="0" applyBorder="1"/>
    <xf numFmtId="3" fontId="0" fillId="0" borderId="0" xfId="0" applyNumberFormat="1" applyBorder="1"/>
    <xf numFmtId="167" fontId="54" fillId="0" borderId="0" xfId="42" applyNumberFormat="1" applyFont="1" applyBorder="1" applyAlignment="1">
      <alignment horizontal="center"/>
    </xf>
    <xf numFmtId="167" fontId="48" fillId="0" borderId="0" xfId="61" applyNumberFormat="1" applyFont="1" applyBorder="1" applyAlignment="1">
      <alignment horizontal="center"/>
    </xf>
    <xf numFmtId="167" fontId="56" fillId="0" borderId="0" xfId="60" applyNumberFormat="1" applyFont="1" applyFill="1" applyBorder="1" applyAlignment="1">
      <alignment horizontal="center"/>
    </xf>
    <xf numFmtId="0" fontId="41" fillId="0" borderId="0" xfId="41" applyFont="1" applyBorder="1"/>
    <xf numFmtId="0" fontId="43" fillId="0" borderId="0" xfId="41" applyFont="1" applyBorder="1"/>
    <xf numFmtId="167" fontId="48" fillId="0" borderId="0" xfId="60" applyNumberFormat="1" applyFont="1" applyFill="1" applyBorder="1" applyAlignment="1">
      <alignment horizontal="center"/>
    </xf>
    <xf numFmtId="0" fontId="38" fillId="0" borderId="1" xfId="41" applyFont="1" applyBorder="1"/>
    <xf numFmtId="0" fontId="43" fillId="0" borderId="2" xfId="41" applyFont="1" applyBorder="1"/>
    <xf numFmtId="0" fontId="43" fillId="0" borderId="3" xfId="41" applyFont="1" applyBorder="1"/>
    <xf numFmtId="0" fontId="41" fillId="0" borderId="0" xfId="41" applyFont="1"/>
    <xf numFmtId="0" fontId="43" fillId="0" borderId="0" xfId="41" applyFont="1"/>
    <xf numFmtId="0" fontId="43" fillId="0" borderId="57" xfId="41" applyFont="1" applyBorder="1"/>
    <xf numFmtId="3" fontId="43" fillId="0" borderId="42" xfId="41" applyNumberFormat="1" applyFont="1" applyBorder="1"/>
    <xf numFmtId="3" fontId="43" fillId="0" borderId="64" xfId="41" applyNumberFormat="1" applyFont="1" applyBorder="1"/>
    <xf numFmtId="0" fontId="38" fillId="0" borderId="57" xfId="41" applyFont="1" applyBorder="1"/>
    <xf numFmtId="0" fontId="43" fillId="0" borderId="65" xfId="41" applyFont="1" applyBorder="1"/>
    <xf numFmtId="0" fontId="43" fillId="0" borderId="4" xfId="41" applyFont="1" applyBorder="1"/>
    <xf numFmtId="10" fontId="43" fillId="0" borderId="63" xfId="41" applyNumberFormat="1" applyFont="1" applyBorder="1"/>
    <xf numFmtId="10" fontId="43" fillId="0" borderId="66" xfId="41" applyNumberFormat="1" applyFont="1" applyBorder="1"/>
    <xf numFmtId="166" fontId="0" fillId="0" borderId="0" xfId="55" applyFont="1"/>
    <xf numFmtId="0" fontId="4" fillId="0" borderId="0" xfId="0" applyFont="1" applyBorder="1"/>
    <xf numFmtId="167" fontId="4" fillId="0" borderId="0" xfId="55" applyNumberFormat="1" applyFont="1" applyBorder="1"/>
    <xf numFmtId="0" fontId="39" fillId="0" borderId="37" xfId="0" applyFont="1" applyBorder="1" applyAlignment="1">
      <alignment wrapText="1"/>
    </xf>
    <xf numFmtId="0" fontId="39" fillId="0" borderId="0" xfId="0" applyFont="1" applyFill="1" applyBorder="1"/>
    <xf numFmtId="0" fontId="45" fillId="0" borderId="0" xfId="0" applyFont="1" applyFill="1" applyBorder="1" applyAlignment="1">
      <alignment wrapText="1"/>
    </xf>
    <xf numFmtId="0" fontId="45" fillId="0" borderId="0" xfId="0" applyFont="1" applyFill="1" applyBorder="1" applyAlignment="1"/>
    <xf numFmtId="0" fontId="45" fillId="0" borderId="0" xfId="0" applyFont="1" applyFill="1" applyBorder="1" applyAlignment="1">
      <alignment horizontal="center"/>
    </xf>
    <xf numFmtId="0" fontId="0" fillId="0" borderId="0" xfId="0" applyAlignment="1"/>
    <xf numFmtId="49" fontId="46" fillId="0" borderId="22" xfId="42" applyNumberFormat="1" applyFont="1" applyBorder="1" applyAlignment="1">
      <alignment wrapText="1"/>
    </xf>
    <xf numFmtId="4" fontId="46" fillId="0" borderId="0" xfId="0" applyNumberFormat="1" applyFont="1" applyFill="1" applyBorder="1"/>
    <xf numFmtId="49" fontId="46" fillId="0" borderId="0" xfId="42" applyNumberFormat="1" applyFont="1" applyFill="1" applyBorder="1" applyAlignment="1">
      <alignment wrapText="1"/>
    </xf>
    <xf numFmtId="49" fontId="46" fillId="0" borderId="37" xfId="42" applyNumberFormat="1" applyFont="1" applyFill="1" applyBorder="1" applyAlignment="1">
      <alignment wrapText="1"/>
    </xf>
    <xf numFmtId="0" fontId="45" fillId="0" borderId="3" xfId="0" applyFont="1" applyFill="1" applyBorder="1" applyAlignment="1"/>
    <xf numFmtId="49" fontId="58" fillId="0" borderId="24" xfId="42" applyNumberFormat="1" applyFont="1" applyBorder="1" applyAlignment="1">
      <alignment wrapText="1"/>
    </xf>
    <xf numFmtId="4" fontId="46" fillId="0" borderId="0" xfId="0" applyNumberFormat="1" applyFont="1" applyBorder="1"/>
    <xf numFmtId="49" fontId="58" fillId="0" borderId="0" xfId="42" applyNumberFormat="1" applyFont="1" applyFill="1" applyBorder="1" applyAlignment="1">
      <alignment wrapText="1"/>
    </xf>
    <xf numFmtId="0" fontId="45" fillId="0" borderId="6" xfId="0" applyFont="1" applyFill="1" applyBorder="1" applyAlignment="1"/>
    <xf numFmtId="3" fontId="50" fillId="0" borderId="37" xfId="0" applyNumberFormat="1" applyFont="1" applyBorder="1"/>
    <xf numFmtId="3" fontId="49" fillId="0" borderId="0" xfId="0" applyNumberFormat="1" applyFont="1" applyBorder="1"/>
    <xf numFmtId="16" fontId="46" fillId="0" borderId="0" xfId="42" applyNumberFormat="1" applyFont="1" applyFill="1" applyBorder="1" applyAlignment="1">
      <alignment horizontal="left"/>
    </xf>
    <xf numFmtId="4" fontId="50" fillId="0" borderId="0" xfId="0" applyNumberFormat="1" applyFont="1" applyFill="1" applyBorder="1" applyAlignment="1">
      <alignment horizontal="right"/>
    </xf>
    <xf numFmtId="4" fontId="49" fillId="0" borderId="0" xfId="0" applyNumberFormat="1" applyFont="1" applyFill="1" applyBorder="1" applyAlignment="1">
      <alignment horizontal="right"/>
    </xf>
    <xf numFmtId="4" fontId="50" fillId="0" borderId="68" xfId="0" applyNumberFormat="1" applyFont="1" applyFill="1" applyBorder="1" applyAlignment="1">
      <alignment horizontal="right"/>
    </xf>
    <xf numFmtId="0" fontId="46" fillId="0" borderId="0" xfId="42" applyFont="1" applyFill="1" applyBorder="1" applyAlignment="1">
      <alignment horizontal="left"/>
    </xf>
    <xf numFmtId="4" fontId="50" fillId="0" borderId="64" xfId="0" applyNumberFormat="1" applyFont="1" applyFill="1" applyBorder="1" applyAlignment="1">
      <alignment horizontal="right"/>
    </xf>
    <xf numFmtId="4" fontId="50" fillId="0" borderId="72" xfId="0" applyNumberFormat="1" applyFont="1" applyFill="1" applyBorder="1" applyAlignment="1">
      <alignment horizontal="right"/>
    </xf>
    <xf numFmtId="3" fontId="10" fillId="0" borderId="7" xfId="0" applyNumberFormat="1" applyFont="1" applyBorder="1" applyAlignment="1">
      <alignment horizontal="center" vertical="center"/>
    </xf>
    <xf numFmtId="3" fontId="6" fillId="0" borderId="0" xfId="0" applyNumberFormat="1" applyFont="1" applyBorder="1"/>
    <xf numFmtId="0" fontId="49" fillId="0" borderId="0" xfId="0" applyFont="1" applyFill="1" applyBorder="1"/>
    <xf numFmtId="0" fontId="49" fillId="0" borderId="9" xfId="0" applyFont="1" applyBorder="1"/>
    <xf numFmtId="4" fontId="50" fillId="0" borderId="73" xfId="0" applyNumberFormat="1" applyFont="1" applyFill="1" applyBorder="1" applyAlignment="1">
      <alignment horizontal="right"/>
    </xf>
    <xf numFmtId="0" fontId="46" fillId="0" borderId="0" xfId="42" applyFont="1" applyFill="1" applyBorder="1" applyAlignment="1">
      <alignment horizontal="left" wrapText="1"/>
    </xf>
    <xf numFmtId="167" fontId="57" fillId="0" borderId="0" xfId="60" applyNumberFormat="1" applyFont="1" applyFill="1" applyBorder="1" applyAlignment="1">
      <alignment horizontal="center"/>
    </xf>
    <xf numFmtId="0" fontId="37" fillId="0" borderId="0" xfId="0" applyFont="1" applyFill="1" applyBorder="1"/>
    <xf numFmtId="167" fontId="46" fillId="0" borderId="0" xfId="42" applyNumberFormat="1" applyFont="1" applyBorder="1" applyAlignment="1">
      <alignment horizontal="center"/>
    </xf>
    <xf numFmtId="0" fontId="50" fillId="0" borderId="0" xfId="0" applyFont="1" applyFill="1"/>
    <xf numFmtId="167" fontId="50" fillId="0" borderId="0" xfId="55" applyNumberFormat="1" applyFont="1" applyBorder="1"/>
    <xf numFmtId="4" fontId="50" fillId="0" borderId="0" xfId="0" applyNumberFormat="1" applyFont="1" applyBorder="1"/>
    <xf numFmtId="167" fontId="50" fillId="0" borderId="0" xfId="0" applyNumberFormat="1" applyFont="1" applyBorder="1"/>
    <xf numFmtId="0" fontId="6" fillId="0" borderId="7" xfId="0" applyFont="1" applyBorder="1"/>
    <xf numFmtId="0" fontId="0" fillId="0" borderId="0" xfId="0" applyFill="1"/>
    <xf numFmtId="0" fontId="8" fillId="0" borderId="0" xfId="0" applyFont="1"/>
    <xf numFmtId="0" fontId="8" fillId="0" borderId="23" xfId="0" applyFont="1" applyBorder="1"/>
    <xf numFmtId="0" fontId="6" fillId="0" borderId="15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75" xfId="0" applyBorder="1" applyAlignment="1">
      <alignment horizontal="center" wrapText="1"/>
    </xf>
    <xf numFmtId="0" fontId="0" fillId="0" borderId="71" xfId="0" applyBorder="1" applyAlignment="1">
      <alignment horizontal="center" wrapText="1"/>
    </xf>
    <xf numFmtId="49" fontId="0" fillId="0" borderId="11" xfId="0" applyNumberFormat="1" applyBorder="1" applyAlignment="1">
      <alignment horizontal="center"/>
    </xf>
    <xf numFmtId="3" fontId="0" fillId="0" borderId="41" xfId="0" applyNumberFormat="1" applyBorder="1" applyAlignment="1">
      <alignment horizontal="center"/>
    </xf>
    <xf numFmtId="0" fontId="0" fillId="0" borderId="42" xfId="0" applyBorder="1" applyAlignment="1">
      <alignment horizontal="center"/>
    </xf>
    <xf numFmtId="4" fontId="0" fillId="0" borderId="64" xfId="0" applyNumberFormat="1" applyBorder="1" applyAlignment="1">
      <alignment horizontal="center"/>
    </xf>
    <xf numFmtId="3" fontId="0" fillId="0" borderId="41" xfId="0" applyNumberFormat="1" applyFill="1" applyBorder="1" applyAlignment="1">
      <alignment horizontal="center"/>
    </xf>
    <xf numFmtId="3" fontId="0" fillId="0" borderId="0" xfId="0" applyNumberFormat="1" applyFill="1"/>
    <xf numFmtId="49" fontId="0" fillId="0" borderId="15" xfId="0" applyNumberFormat="1" applyBorder="1" applyAlignment="1">
      <alignment horizontal="center"/>
    </xf>
    <xf numFmtId="49" fontId="0" fillId="0" borderId="55" xfId="0" applyNumberFormat="1" applyBorder="1" applyAlignment="1">
      <alignment horizontal="center"/>
    </xf>
    <xf numFmtId="3" fontId="0" fillId="0" borderId="53" xfId="0" applyNumberFormat="1" applyBorder="1" applyAlignment="1">
      <alignment horizontal="center"/>
    </xf>
    <xf numFmtId="0" fontId="8" fillId="28" borderId="7" xfId="0" applyFont="1" applyFill="1" applyBorder="1" applyAlignment="1">
      <alignment horizontal="center" vertical="center" wrapText="1"/>
    </xf>
    <xf numFmtId="3" fontId="8" fillId="22" borderId="9" xfId="0" applyNumberFormat="1" applyFont="1" applyFill="1" applyBorder="1" applyAlignment="1">
      <alignment horizontal="center" vertical="center"/>
    </xf>
    <xf numFmtId="3" fontId="8" fillId="22" borderId="76" xfId="0" applyNumberFormat="1" applyFont="1" applyFill="1" applyBorder="1" applyAlignment="1">
      <alignment horizontal="center" vertical="center"/>
    </xf>
    <xf numFmtId="3" fontId="8" fillId="25" borderId="9" xfId="0" applyNumberFormat="1" applyFont="1" applyFill="1" applyBorder="1" applyAlignment="1">
      <alignment horizontal="center" vertical="center"/>
    </xf>
    <xf numFmtId="3" fontId="8" fillId="25" borderId="76" xfId="0" applyNumberFormat="1" applyFont="1" applyFill="1" applyBorder="1" applyAlignment="1">
      <alignment horizontal="center" vertical="center"/>
    </xf>
    <xf numFmtId="3" fontId="8" fillId="26" borderId="9" xfId="0" applyNumberFormat="1" applyFont="1" applyFill="1" applyBorder="1" applyAlignment="1">
      <alignment horizontal="center" vertical="center"/>
    </xf>
    <xf numFmtId="3" fontId="8" fillId="26" borderId="76" xfId="0" applyNumberFormat="1" applyFont="1" applyFill="1" applyBorder="1" applyAlignment="1">
      <alignment horizontal="center" vertical="center"/>
    </xf>
    <xf numFmtId="3" fontId="8" fillId="27" borderId="9" xfId="0" applyNumberFormat="1" applyFont="1" applyFill="1" applyBorder="1" applyAlignment="1">
      <alignment horizontal="center" vertical="center"/>
    </xf>
    <xf numFmtId="1" fontId="8" fillId="27" borderId="76" xfId="0" applyNumberFormat="1" applyFont="1" applyFill="1" applyBorder="1" applyAlignment="1">
      <alignment horizontal="center" vertical="center"/>
    </xf>
    <xf numFmtId="1" fontId="8" fillId="27" borderId="73" xfId="0" applyNumberFormat="1" applyFont="1" applyFill="1" applyBorder="1" applyAlignment="1">
      <alignment horizontal="center" vertical="center"/>
    </xf>
    <xf numFmtId="0" fontId="3" fillId="0" borderId="0" xfId="0" applyFont="1"/>
    <xf numFmtId="0" fontId="3" fillId="0" borderId="0" xfId="0" applyFont="1" applyBorder="1"/>
    <xf numFmtId="0" fontId="6" fillId="0" borderId="0" xfId="0" applyFont="1" applyBorder="1"/>
    <xf numFmtId="0" fontId="6" fillId="0" borderId="15" xfId="0" applyFont="1" applyBorder="1" applyAlignment="1">
      <alignment horizontal="center" vertical="center"/>
    </xf>
    <xf numFmtId="0" fontId="0" fillId="0" borderId="9" xfId="0" applyBorder="1" applyAlignment="1">
      <alignment horizontal="center" wrapText="1"/>
    </xf>
    <xf numFmtId="0" fontId="0" fillId="0" borderId="76" xfId="0" applyBorder="1" applyAlignment="1">
      <alignment horizontal="center" wrapText="1"/>
    </xf>
    <xf numFmtId="0" fontId="0" fillId="0" borderId="73" xfId="0" applyBorder="1" applyAlignment="1">
      <alignment horizontal="center" wrapText="1"/>
    </xf>
    <xf numFmtId="3" fontId="0" fillId="0" borderId="13" xfId="0" applyNumberFormat="1" applyBorder="1" applyAlignment="1">
      <alignment horizontal="center"/>
    </xf>
    <xf numFmtId="0" fontId="0" fillId="0" borderId="75" xfId="0" applyBorder="1" applyAlignment="1">
      <alignment horizontal="center"/>
    </xf>
    <xf numFmtId="4" fontId="0" fillId="0" borderId="71" xfId="0" applyNumberFormat="1" applyBorder="1" applyAlignment="1">
      <alignment horizontal="center"/>
    </xf>
    <xf numFmtId="3" fontId="8" fillId="29" borderId="9" xfId="0" applyNumberFormat="1" applyFont="1" applyFill="1" applyBorder="1" applyAlignment="1">
      <alignment horizontal="center" vertical="center"/>
    </xf>
    <xf numFmtId="3" fontId="8" fillId="29" borderId="76" xfId="0" applyNumberFormat="1" applyFont="1" applyFill="1" applyBorder="1" applyAlignment="1">
      <alignment horizontal="center" vertical="center"/>
    </xf>
    <xf numFmtId="3" fontId="8" fillId="29" borderId="73" xfId="0" applyNumberFormat="1" applyFont="1" applyFill="1" applyBorder="1" applyAlignment="1">
      <alignment horizontal="center" vertical="center"/>
    </xf>
    <xf numFmtId="0" fontId="10" fillId="0" borderId="0" xfId="0" applyFont="1" applyFill="1" applyBorder="1"/>
    <xf numFmtId="0" fontId="64" fillId="0" borderId="0" xfId="0" applyFont="1"/>
    <xf numFmtId="0" fontId="27" fillId="0" borderId="0" xfId="43"/>
    <xf numFmtId="0" fontId="66" fillId="0" borderId="0" xfId="43" applyFont="1"/>
    <xf numFmtId="0" fontId="67" fillId="0" borderId="46" xfId="43" applyFont="1" applyBorder="1" applyAlignment="1">
      <alignment horizontal="center" wrapText="1"/>
    </xf>
    <xf numFmtId="0" fontId="67" fillId="0" borderId="66" xfId="43" applyFont="1" applyBorder="1" applyAlignment="1">
      <alignment horizontal="center" wrapText="1"/>
    </xf>
    <xf numFmtId="0" fontId="67" fillId="0" borderId="47" xfId="43" applyFont="1" applyBorder="1" applyAlignment="1">
      <alignment horizontal="center" wrapText="1"/>
    </xf>
    <xf numFmtId="0" fontId="67" fillId="0" borderId="62" xfId="43" applyFont="1" applyBorder="1" applyAlignment="1">
      <alignment horizontal="center" wrapText="1"/>
    </xf>
    <xf numFmtId="0" fontId="65" fillId="0" borderId="11" xfId="43" applyFont="1" applyBorder="1" applyAlignment="1">
      <alignment horizontal="center"/>
    </xf>
    <xf numFmtId="0" fontId="65" fillId="0" borderId="11" xfId="43" applyFont="1" applyBorder="1" applyAlignment="1">
      <alignment horizontal="center" wrapText="1"/>
    </xf>
    <xf numFmtId="0" fontId="68" fillId="0" borderId="13" xfId="43" applyFont="1" applyBorder="1" applyAlignment="1">
      <alignment horizontal="center" vertical="center"/>
    </xf>
    <xf numFmtId="0" fontId="68" fillId="0" borderId="71" xfId="43" applyFont="1" applyBorder="1" applyAlignment="1">
      <alignment horizontal="center" vertical="center"/>
    </xf>
    <xf numFmtId="0" fontId="68" fillId="0" borderId="50" xfId="43" applyFont="1" applyBorder="1" applyAlignment="1">
      <alignment horizontal="center" vertical="center"/>
    </xf>
    <xf numFmtId="0" fontId="68" fillId="0" borderId="74" xfId="43" applyFont="1" applyBorder="1" applyAlignment="1">
      <alignment horizontal="center" vertical="center"/>
    </xf>
    <xf numFmtId="0" fontId="68" fillId="0" borderId="13" xfId="43" applyFont="1" applyFill="1" applyBorder="1" applyAlignment="1">
      <alignment horizontal="center" vertical="center"/>
    </xf>
    <xf numFmtId="0" fontId="65" fillId="0" borderId="15" xfId="43" applyFont="1" applyBorder="1" applyAlignment="1">
      <alignment horizontal="center"/>
    </xf>
    <xf numFmtId="0" fontId="65" fillId="0" borderId="15" xfId="43" applyFont="1" applyFill="1" applyBorder="1" applyAlignment="1">
      <alignment horizontal="center" wrapText="1"/>
    </xf>
    <xf numFmtId="0" fontId="68" fillId="0" borderId="41" xfId="43" applyFont="1" applyBorder="1" applyAlignment="1">
      <alignment horizontal="center" vertical="center"/>
    </xf>
    <xf numFmtId="0" fontId="68" fillId="0" borderId="64" xfId="43" applyFont="1" applyBorder="1" applyAlignment="1">
      <alignment horizontal="center" vertical="center"/>
    </xf>
    <xf numFmtId="0" fontId="68" fillId="0" borderId="80" xfId="43" applyFont="1" applyBorder="1" applyAlignment="1">
      <alignment horizontal="center" vertical="center"/>
    </xf>
    <xf numFmtId="0" fontId="68" fillId="0" borderId="43" xfId="43" applyFont="1" applyBorder="1" applyAlignment="1">
      <alignment horizontal="center" vertical="center"/>
    </xf>
    <xf numFmtId="0" fontId="68" fillId="0" borderId="41" xfId="43" applyFont="1" applyBorder="1" applyAlignment="1">
      <alignment horizontal="center" vertical="center" wrapText="1"/>
    </xf>
    <xf numFmtId="0" fontId="68" fillId="0" borderId="64" xfId="43" applyFont="1" applyBorder="1" applyAlignment="1">
      <alignment horizontal="center" vertical="center" wrapText="1"/>
    </xf>
    <xf numFmtId="0" fontId="65" fillId="0" borderId="15" xfId="43" applyFont="1" applyFill="1" applyBorder="1" applyAlignment="1">
      <alignment horizontal="center"/>
    </xf>
    <xf numFmtId="0" fontId="69" fillId="0" borderId="0" xfId="43" applyFont="1"/>
    <xf numFmtId="0" fontId="65" fillId="0" borderId="15" xfId="43" applyFont="1" applyBorder="1" applyAlignment="1">
      <alignment horizontal="center" wrapText="1"/>
    </xf>
    <xf numFmtId="0" fontId="65" fillId="0" borderId="22" xfId="43" applyFont="1" applyBorder="1" applyAlignment="1">
      <alignment horizontal="center"/>
    </xf>
    <xf numFmtId="0" fontId="65" fillId="0" borderId="22" xfId="43" applyFont="1" applyFill="1" applyBorder="1" applyAlignment="1">
      <alignment horizontal="center" wrapText="1"/>
    </xf>
    <xf numFmtId="0" fontId="68" fillId="0" borderId="51" xfId="43" applyFont="1" applyBorder="1" applyAlignment="1">
      <alignment horizontal="center" vertical="center"/>
    </xf>
    <xf numFmtId="0" fontId="68" fillId="0" borderId="70" xfId="43" applyFont="1" applyBorder="1" applyAlignment="1">
      <alignment horizontal="center" vertical="center"/>
    </xf>
    <xf numFmtId="0" fontId="68" fillId="0" borderId="69" xfId="43" applyFont="1" applyBorder="1" applyAlignment="1">
      <alignment horizontal="center" vertical="center"/>
    </xf>
    <xf numFmtId="0" fontId="68" fillId="0" borderId="59" xfId="43" applyFont="1" applyBorder="1" applyAlignment="1">
      <alignment horizontal="center" vertical="center"/>
    </xf>
    <xf numFmtId="0" fontId="65" fillId="0" borderId="7" xfId="43" applyFont="1" applyBorder="1" applyAlignment="1">
      <alignment horizontal="center"/>
    </xf>
    <xf numFmtId="0" fontId="68" fillId="0" borderId="9" xfId="43" applyFont="1" applyBorder="1" applyAlignment="1">
      <alignment horizontal="center" vertical="center"/>
    </xf>
    <xf numFmtId="0" fontId="68" fillId="0" borderId="73" xfId="43" applyFont="1" applyBorder="1" applyAlignment="1">
      <alignment horizontal="center" vertical="center"/>
    </xf>
    <xf numFmtId="0" fontId="68" fillId="0" borderId="82" xfId="43" applyFont="1" applyBorder="1" applyAlignment="1">
      <alignment horizontal="center" vertical="center"/>
    </xf>
    <xf numFmtId="0" fontId="68" fillId="0" borderId="19" xfId="43" applyFont="1" applyBorder="1" applyAlignment="1">
      <alignment horizontal="center" vertical="center"/>
    </xf>
    <xf numFmtId="0" fontId="27" fillId="0" borderId="0" xfId="43" applyAlignment="1">
      <alignment horizontal="center"/>
    </xf>
    <xf numFmtId="0" fontId="69" fillId="0" borderId="0" xfId="43" applyFont="1" applyAlignment="1">
      <alignment horizontal="center"/>
    </xf>
    <xf numFmtId="0" fontId="27" fillId="0" borderId="0" xfId="43" applyFont="1" applyAlignment="1">
      <alignment horizontal="center"/>
    </xf>
    <xf numFmtId="0" fontId="61" fillId="0" borderId="20" xfId="0" applyFont="1" applyFill="1" applyBorder="1"/>
    <xf numFmtId="0" fontId="61" fillId="0" borderId="10" xfId="0" applyFont="1" applyFill="1" applyBorder="1"/>
    <xf numFmtId="3" fontId="0" fillId="0" borderId="0" xfId="0" applyNumberFormat="1" applyFill="1" applyBorder="1"/>
    <xf numFmtId="4" fontId="8" fillId="0" borderId="7" xfId="0" applyNumberFormat="1" applyFont="1" applyFill="1" applyBorder="1"/>
    <xf numFmtId="4" fontId="0" fillId="0" borderId="0" xfId="0" applyNumberFormat="1" applyFill="1" applyBorder="1"/>
    <xf numFmtId="4" fontId="0" fillId="0" borderId="0" xfId="0" applyNumberFormat="1"/>
    <xf numFmtId="0" fontId="10" fillId="0" borderId="0" xfId="0" applyFont="1" applyBorder="1"/>
    <xf numFmtId="4" fontId="0" fillId="0" borderId="0" xfId="0" applyNumberFormat="1" applyBorder="1"/>
    <xf numFmtId="0" fontId="33" fillId="0" borderId="20" xfId="0" applyFont="1" applyFill="1" applyBorder="1" applyAlignment="1">
      <alignment wrapText="1"/>
    </xf>
    <xf numFmtId="0" fontId="61" fillId="0" borderId="20" xfId="0" applyFont="1" applyBorder="1" applyAlignment="1">
      <alignment wrapText="1"/>
    </xf>
    <xf numFmtId="4" fontId="61" fillId="0" borderId="7" xfId="0" applyNumberFormat="1" applyFont="1" applyBorder="1"/>
    <xf numFmtId="0" fontId="8" fillId="0" borderId="37" xfId="0" applyFont="1" applyFill="1" applyBorder="1" applyAlignment="1">
      <alignment horizontal="center" wrapText="1"/>
    </xf>
    <xf numFmtId="0" fontId="8" fillId="0" borderId="37" xfId="0" applyFont="1" applyFill="1" applyBorder="1" applyAlignment="1">
      <alignment wrapText="1"/>
    </xf>
    <xf numFmtId="0" fontId="8" fillId="0" borderId="24" xfId="0" applyFont="1" applyFill="1" applyBorder="1"/>
    <xf numFmtId="4" fontId="8" fillId="0" borderId="24" xfId="0" applyNumberFormat="1" applyFont="1" applyFill="1" applyBorder="1"/>
    <xf numFmtId="0" fontId="40" fillId="0" borderId="60" xfId="0" applyNumberFormat="1" applyFont="1" applyFill="1" applyBorder="1" applyAlignment="1">
      <alignment horizontal="left" wrapText="1"/>
    </xf>
    <xf numFmtId="4" fontId="2" fillId="0" borderId="68" xfId="0" applyNumberFormat="1" applyFont="1" applyFill="1" applyBorder="1"/>
    <xf numFmtId="0" fontId="40" fillId="0" borderId="41" xfId="0" applyNumberFormat="1" applyFont="1" applyFill="1" applyBorder="1" applyAlignment="1">
      <alignment horizontal="left" wrapText="1"/>
    </xf>
    <xf numFmtId="4" fontId="2" fillId="0" borderId="64" xfId="0" applyNumberFormat="1" applyFont="1" applyFill="1" applyBorder="1"/>
    <xf numFmtId="0" fontId="40" fillId="0" borderId="46" xfId="0" applyNumberFormat="1" applyFont="1" applyFill="1" applyBorder="1" applyAlignment="1">
      <alignment horizontal="left" wrapText="1"/>
    </xf>
    <xf numFmtId="4" fontId="2" fillId="0" borderId="66" xfId="0" applyNumberFormat="1" applyFont="1" applyFill="1" applyBorder="1"/>
    <xf numFmtId="0" fontId="72" fillId="32" borderId="19" xfId="0" applyFont="1" applyFill="1" applyBorder="1" applyAlignment="1">
      <alignment horizontal="left"/>
    </xf>
    <xf numFmtId="165" fontId="72" fillId="32" borderId="7" xfId="0" applyNumberFormat="1" applyFont="1" applyFill="1" applyBorder="1" applyAlignment="1">
      <alignment horizontal="right"/>
    </xf>
    <xf numFmtId="165" fontId="72" fillId="32" borderId="7" xfId="0" applyNumberFormat="1" applyFont="1" applyFill="1" applyBorder="1" applyAlignment="1">
      <alignment horizontal="left"/>
    </xf>
    <xf numFmtId="0" fontId="74" fillId="0" borderId="59" xfId="0" applyFont="1" applyFill="1" applyBorder="1" applyAlignment="1">
      <alignment horizontal="left"/>
    </xf>
    <xf numFmtId="165" fontId="74" fillId="0" borderId="22" xfId="0" applyNumberFormat="1" applyFont="1" applyFill="1" applyBorder="1" applyAlignment="1">
      <alignment horizontal="left"/>
    </xf>
    <xf numFmtId="0" fontId="73" fillId="0" borderId="74" xfId="0" applyFont="1" applyBorder="1" applyAlignment="1">
      <alignment horizontal="left" vertical="center"/>
    </xf>
    <xf numFmtId="165" fontId="73" fillId="0" borderId="11" xfId="0" applyNumberFormat="1" applyFont="1" applyBorder="1" applyAlignment="1">
      <alignment horizontal="left" vertical="center"/>
    </xf>
    <xf numFmtId="165" fontId="0" fillId="0" borderId="0" xfId="0" applyNumberFormat="1"/>
    <xf numFmtId="0" fontId="73" fillId="0" borderId="49" xfId="0" applyFont="1" applyBorder="1" applyAlignment="1">
      <alignment horizontal="left"/>
    </xf>
    <xf numFmtId="0" fontId="73" fillId="0" borderId="50" xfId="0" applyFont="1" applyBorder="1" applyAlignment="1">
      <alignment horizontal="left"/>
    </xf>
    <xf numFmtId="172" fontId="0" fillId="0" borderId="0" xfId="0" applyNumberFormat="1"/>
    <xf numFmtId="0" fontId="74" fillId="0" borderId="0" xfId="0" applyFont="1" applyFill="1" applyBorder="1" applyAlignment="1">
      <alignment horizontal="left"/>
    </xf>
    <xf numFmtId="165" fontId="72" fillId="32" borderId="7" xfId="0" applyNumberFormat="1" applyFont="1" applyFill="1" applyBorder="1" applyAlignment="1"/>
    <xf numFmtId="165" fontId="74" fillId="0" borderId="22" xfId="0" applyNumberFormat="1" applyFont="1" applyFill="1" applyBorder="1" applyAlignment="1"/>
    <xf numFmtId="0" fontId="73" fillId="0" borderId="74" xfId="0" applyFont="1" applyBorder="1" applyAlignment="1">
      <alignment horizontal="left" wrapText="1"/>
    </xf>
    <xf numFmtId="165" fontId="73" fillId="0" borderId="11" xfId="0" applyNumberFormat="1" applyFont="1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42" xfId="0" applyBorder="1" applyAlignment="1">
      <alignment horizontal="left"/>
    </xf>
    <xf numFmtId="0" fontId="73" fillId="0" borderId="43" xfId="0" applyFont="1" applyBorder="1" applyAlignment="1">
      <alignment horizontal="left" wrapText="1"/>
    </xf>
    <xf numFmtId="165" fontId="73" fillId="0" borderId="15" xfId="0" applyNumberFormat="1" applyFont="1" applyBorder="1" applyAlignment="1">
      <alignment horizontal="left"/>
    </xf>
    <xf numFmtId="0" fontId="0" fillId="0" borderId="41" xfId="0" applyBorder="1" applyAlignment="1">
      <alignment horizontal="center"/>
    </xf>
    <xf numFmtId="0" fontId="73" fillId="0" borderId="43" xfId="0" applyFont="1" applyFill="1" applyBorder="1" applyAlignment="1">
      <alignment horizontal="left" wrapText="1"/>
    </xf>
    <xf numFmtId="0" fontId="73" fillId="0" borderId="43" xfId="0" applyFont="1" applyBorder="1" applyAlignment="1">
      <alignment horizontal="left"/>
    </xf>
    <xf numFmtId="0" fontId="73" fillId="0" borderId="74" xfId="0" applyFont="1" applyBorder="1" applyAlignment="1">
      <alignment horizontal="left"/>
    </xf>
    <xf numFmtId="0" fontId="75" fillId="31" borderId="20" xfId="0" applyFont="1" applyFill="1" applyBorder="1" applyAlignment="1">
      <alignment horizontal="left"/>
    </xf>
    <xf numFmtId="0" fontId="75" fillId="31" borderId="8" xfId="0" applyFont="1" applyFill="1" applyBorder="1" applyAlignment="1">
      <alignment horizontal="left"/>
    </xf>
    <xf numFmtId="0" fontId="71" fillId="31" borderId="8" xfId="0" applyFont="1" applyFill="1" applyBorder="1" applyAlignment="1">
      <alignment horizontal="left"/>
    </xf>
    <xf numFmtId="165" fontId="71" fillId="31" borderId="7" xfId="0" applyNumberFormat="1" applyFont="1" applyFill="1" applyBorder="1" applyAlignment="1">
      <alignment horizontal="left"/>
    </xf>
    <xf numFmtId="0" fontId="73" fillId="0" borderId="41" xfId="0" applyFont="1" applyBorder="1" applyAlignment="1">
      <alignment horizontal="left"/>
    </xf>
    <xf numFmtId="0" fontId="73" fillId="0" borderId="42" xfId="0" applyFont="1" applyBorder="1" applyAlignment="1">
      <alignment horizontal="left"/>
    </xf>
    <xf numFmtId="0" fontId="73" fillId="0" borderId="62" xfId="0" applyFont="1" applyBorder="1" applyAlignment="1">
      <alignment horizontal="left" wrapText="1"/>
    </xf>
    <xf numFmtId="165" fontId="73" fillId="0" borderId="17" xfId="0" applyNumberFormat="1" applyFont="1" applyBorder="1" applyAlignment="1">
      <alignment horizontal="left"/>
    </xf>
    <xf numFmtId="0" fontId="59" fillId="0" borderId="0" xfId="64" applyFont="1"/>
    <xf numFmtId="0" fontId="1" fillId="0" borderId="0" xfId="64"/>
    <xf numFmtId="0" fontId="59" fillId="0" borderId="53" xfId="64" applyFont="1" applyFill="1" applyBorder="1" applyAlignment="1">
      <alignment horizontal="center"/>
    </xf>
    <xf numFmtId="0" fontId="59" fillId="0" borderId="72" xfId="64" applyFont="1" applyFill="1" applyBorder="1" applyAlignment="1">
      <alignment horizontal="center"/>
    </xf>
    <xf numFmtId="0" fontId="1" fillId="0" borderId="39" xfId="64" applyBorder="1" applyAlignment="1">
      <alignment horizontal="center"/>
    </xf>
    <xf numFmtId="3" fontId="1" fillId="0" borderId="60" xfId="64" applyNumberFormat="1" applyBorder="1"/>
    <xf numFmtId="164" fontId="1" fillId="0" borderId="68" xfId="64" applyNumberFormat="1" applyBorder="1"/>
    <xf numFmtId="1" fontId="1" fillId="0" borderId="60" xfId="64" applyNumberFormat="1" applyBorder="1"/>
    <xf numFmtId="1" fontId="1" fillId="0" borderId="68" xfId="64" applyNumberFormat="1" applyBorder="1"/>
    <xf numFmtId="0" fontId="1" fillId="0" borderId="40" xfId="64" applyBorder="1" applyAlignment="1">
      <alignment horizontal="center"/>
    </xf>
    <xf numFmtId="3" fontId="1" fillId="0" borderId="41" xfId="64" applyNumberFormat="1" applyBorder="1"/>
    <xf numFmtId="164" fontId="1" fillId="0" borderId="64" xfId="64" applyNumberFormat="1" applyBorder="1"/>
    <xf numFmtId="1" fontId="1" fillId="0" borderId="41" xfId="64" applyNumberFormat="1" applyBorder="1"/>
    <xf numFmtId="1" fontId="1" fillId="0" borderId="64" xfId="64" applyNumberFormat="1" applyBorder="1"/>
    <xf numFmtId="3" fontId="1" fillId="0" borderId="41" xfId="64" applyNumberFormat="1" applyFill="1" applyBorder="1"/>
    <xf numFmtId="3" fontId="1" fillId="0" borderId="0" xfId="64" applyNumberFormat="1"/>
    <xf numFmtId="164" fontId="1" fillId="0" borderId="0" xfId="64" applyNumberFormat="1"/>
    <xf numFmtId="0" fontId="1" fillId="0" borderId="45" xfId="64" applyBorder="1" applyAlignment="1">
      <alignment horizontal="center"/>
    </xf>
    <xf numFmtId="3" fontId="1" fillId="0" borderId="46" xfId="64" applyNumberFormat="1" applyBorder="1"/>
    <xf numFmtId="164" fontId="1" fillId="0" borderId="66" xfId="64" applyNumberFormat="1" applyBorder="1"/>
    <xf numFmtId="1" fontId="1" fillId="0" borderId="46" xfId="64" applyNumberFormat="1" applyBorder="1"/>
    <xf numFmtId="1" fontId="1" fillId="0" borderId="66" xfId="64" applyNumberFormat="1" applyBorder="1"/>
    <xf numFmtId="0" fontId="8" fillId="0" borderId="20" xfId="64" applyFont="1" applyBorder="1"/>
    <xf numFmtId="3" fontId="8" fillId="22" borderId="9" xfId="64" applyNumberFormat="1" applyFont="1" applyFill="1" applyBorder="1"/>
    <xf numFmtId="164" fontId="8" fillId="22" borderId="73" xfId="64" applyNumberFormat="1" applyFont="1" applyFill="1" applyBorder="1"/>
    <xf numFmtId="3" fontId="8" fillId="33" borderId="9" xfId="64" applyNumberFormat="1" applyFont="1" applyFill="1" applyBorder="1"/>
    <xf numFmtId="164" fontId="8" fillId="33" borderId="73" xfId="64" applyNumberFormat="1" applyFont="1" applyFill="1" applyBorder="1"/>
    <xf numFmtId="1" fontId="8" fillId="22" borderId="9" xfId="64" applyNumberFormat="1" applyFont="1" applyFill="1" applyBorder="1"/>
    <xf numFmtId="1" fontId="8" fillId="33" borderId="73" xfId="64" applyNumberFormat="1" applyFont="1" applyFill="1" applyBorder="1"/>
    <xf numFmtId="0" fontId="6" fillId="29" borderId="20" xfId="64" applyFont="1" applyFill="1" applyBorder="1"/>
    <xf numFmtId="0" fontId="6" fillId="29" borderId="8" xfId="64" applyFont="1" applyFill="1" applyBorder="1"/>
    <xf numFmtId="0" fontId="6" fillId="29" borderId="10" xfId="64" applyFont="1" applyFill="1" applyBorder="1"/>
    <xf numFmtId="0" fontId="59" fillId="0" borderId="78" xfId="64" applyFont="1" applyFill="1" applyBorder="1" applyAlignment="1">
      <alignment horizontal="center"/>
    </xf>
    <xf numFmtId="0" fontId="59" fillId="0" borderId="79" xfId="64" applyFont="1" applyFill="1" applyBorder="1" applyAlignment="1">
      <alignment horizontal="center"/>
    </xf>
    <xf numFmtId="0" fontId="1" fillId="0" borderId="0" xfId="64" applyFill="1"/>
    <xf numFmtId="0" fontId="1" fillId="0" borderId="49" xfId="64" applyBorder="1" applyAlignment="1">
      <alignment horizontal="center"/>
    </xf>
    <xf numFmtId="3" fontId="1" fillId="0" borderId="13" xfId="64" applyNumberFormat="1" applyBorder="1"/>
    <xf numFmtId="165" fontId="0" fillId="0" borderId="71" xfId="65" applyNumberFormat="1" applyFont="1" applyBorder="1"/>
    <xf numFmtId="164" fontId="1" fillId="0" borderId="71" xfId="64" applyNumberFormat="1" applyBorder="1"/>
    <xf numFmtId="1" fontId="1" fillId="0" borderId="13" xfId="64" applyNumberFormat="1" applyBorder="1"/>
    <xf numFmtId="1" fontId="1" fillId="0" borderId="71" xfId="64" applyNumberFormat="1" applyBorder="1"/>
    <xf numFmtId="165" fontId="0" fillId="0" borderId="64" xfId="65" applyNumberFormat="1" applyFont="1" applyBorder="1"/>
    <xf numFmtId="0" fontId="1" fillId="0" borderId="52" xfId="64" applyBorder="1" applyAlignment="1">
      <alignment horizontal="center"/>
    </xf>
    <xf numFmtId="3" fontId="1" fillId="0" borderId="53" xfId="64" applyNumberFormat="1" applyBorder="1"/>
    <xf numFmtId="165" fontId="0" fillId="0" borderId="72" xfId="65" applyNumberFormat="1" applyFont="1" applyFill="1" applyBorder="1"/>
    <xf numFmtId="164" fontId="1" fillId="0" borderId="72" xfId="64" applyNumberFormat="1" applyFill="1" applyBorder="1"/>
    <xf numFmtId="1" fontId="1" fillId="0" borderId="53" xfId="64" applyNumberFormat="1" applyBorder="1"/>
    <xf numFmtId="1" fontId="1" fillId="0" borderId="72" xfId="64" applyNumberFormat="1" applyBorder="1"/>
    <xf numFmtId="3" fontId="8" fillId="34" borderId="9" xfId="64" applyNumberFormat="1" applyFont="1" applyFill="1" applyBorder="1"/>
    <xf numFmtId="164" fontId="8" fillId="34" borderId="73" xfId="64" applyNumberFormat="1" applyFont="1" applyFill="1" applyBorder="1"/>
    <xf numFmtId="3" fontId="8" fillId="35" borderId="9" xfId="64" applyNumberFormat="1" applyFont="1" applyFill="1" applyBorder="1"/>
    <xf numFmtId="164" fontId="8" fillId="35" borderId="73" xfId="64" applyNumberFormat="1" applyFont="1" applyFill="1" applyBorder="1"/>
    <xf numFmtId="1" fontId="8" fillId="34" borderId="9" xfId="64" applyNumberFormat="1" applyFont="1" applyFill="1" applyBorder="1"/>
    <xf numFmtId="1" fontId="8" fillId="35" borderId="73" xfId="64" applyNumberFormat="1" applyFont="1" applyFill="1" applyBorder="1"/>
    <xf numFmtId="0" fontId="6" fillId="35" borderId="20" xfId="64" applyFont="1" applyFill="1" applyBorder="1"/>
    <xf numFmtId="0" fontId="6" fillId="35" borderId="8" xfId="64" applyFont="1" applyFill="1" applyBorder="1"/>
    <xf numFmtId="0" fontId="6" fillId="35" borderId="10" xfId="64" applyFont="1" applyFill="1" applyBorder="1"/>
    <xf numFmtId="0" fontId="60" fillId="0" borderId="53" xfId="64" applyFont="1" applyFill="1" applyBorder="1" applyAlignment="1">
      <alignment horizontal="center"/>
    </xf>
    <xf numFmtId="0" fontId="60" fillId="0" borderId="72" xfId="64" applyFont="1" applyFill="1" applyBorder="1" applyAlignment="1">
      <alignment horizontal="center"/>
    </xf>
    <xf numFmtId="3" fontId="8" fillId="36" borderId="9" xfId="64" applyNumberFormat="1" applyFont="1" applyFill="1" applyBorder="1"/>
    <xf numFmtId="164" fontId="8" fillId="36" borderId="73" xfId="64" applyNumberFormat="1" applyFont="1" applyFill="1" applyBorder="1"/>
    <xf numFmtId="3" fontId="8" fillId="32" borderId="9" xfId="64" applyNumberFormat="1" applyFont="1" applyFill="1" applyBorder="1"/>
    <xf numFmtId="164" fontId="8" fillId="32" borderId="73" xfId="64" applyNumberFormat="1" applyFont="1" applyFill="1" applyBorder="1"/>
    <xf numFmtId="1" fontId="8" fillId="36" borderId="9" xfId="64" applyNumberFormat="1" applyFont="1" applyFill="1" applyBorder="1"/>
    <xf numFmtId="1" fontId="8" fillId="32" borderId="73" xfId="64" applyNumberFormat="1" applyFont="1" applyFill="1" applyBorder="1"/>
    <xf numFmtId="4" fontId="1" fillId="0" borderId="60" xfId="64" applyNumberFormat="1" applyBorder="1"/>
    <xf numFmtId="4" fontId="1" fillId="0" borderId="68" xfId="64" applyNumberFormat="1" applyBorder="1" applyAlignment="1">
      <alignment horizontal="right"/>
    </xf>
    <xf numFmtId="4" fontId="1" fillId="0" borderId="68" xfId="64" applyNumberFormat="1" applyBorder="1"/>
    <xf numFmtId="4" fontId="1" fillId="0" borderId="13" xfId="64" applyNumberFormat="1" applyBorder="1"/>
    <xf numFmtId="4" fontId="1" fillId="0" borderId="71" xfId="64" applyNumberFormat="1" applyBorder="1"/>
    <xf numFmtId="4" fontId="1" fillId="0" borderId="41" xfId="64" applyNumberFormat="1" applyBorder="1"/>
    <xf numFmtId="4" fontId="1" fillId="0" borderId="64" xfId="64" applyNumberFormat="1" applyBorder="1" applyAlignment="1">
      <alignment horizontal="right"/>
    </xf>
    <xf numFmtId="4" fontId="1" fillId="0" borderId="64" xfId="64" applyNumberFormat="1" applyBorder="1"/>
    <xf numFmtId="4" fontId="1" fillId="0" borderId="41" xfId="64" applyNumberFormat="1" applyFill="1" applyBorder="1"/>
    <xf numFmtId="4" fontId="1" fillId="0" borderId="46" xfId="64" applyNumberFormat="1" applyBorder="1"/>
    <xf numFmtId="4" fontId="1" fillId="0" borderId="66" xfId="64" applyNumberFormat="1" applyBorder="1" applyAlignment="1">
      <alignment horizontal="right"/>
    </xf>
    <xf numFmtId="4" fontId="1" fillId="0" borderId="66" xfId="64" applyNumberFormat="1" applyBorder="1"/>
    <xf numFmtId="3" fontId="8" fillId="37" borderId="9" xfId="64" applyNumberFormat="1" applyFont="1" applyFill="1" applyBorder="1"/>
    <xf numFmtId="164" fontId="8" fillId="37" borderId="73" xfId="64" applyNumberFormat="1" applyFont="1" applyFill="1" applyBorder="1"/>
    <xf numFmtId="3" fontId="8" fillId="26" borderId="9" xfId="64" applyNumberFormat="1" applyFont="1" applyFill="1" applyBorder="1"/>
    <xf numFmtId="164" fontId="8" fillId="26" borderId="73" xfId="64" applyNumberFormat="1" applyFont="1" applyFill="1" applyBorder="1"/>
    <xf numFmtId="1" fontId="8" fillId="37" borderId="9" xfId="64" applyNumberFormat="1" applyFont="1" applyFill="1" applyBorder="1"/>
    <xf numFmtId="1" fontId="8" fillId="26" borderId="73" xfId="64" applyNumberFormat="1" applyFont="1" applyFill="1" applyBorder="1"/>
    <xf numFmtId="0" fontId="6" fillId="26" borderId="20" xfId="64" applyFont="1" applyFill="1" applyBorder="1"/>
    <xf numFmtId="0" fontId="6" fillId="26" borderId="8" xfId="64" applyFont="1" applyFill="1" applyBorder="1"/>
    <xf numFmtId="0" fontId="6" fillId="26" borderId="10" xfId="64" applyFont="1" applyFill="1" applyBorder="1"/>
    <xf numFmtId="0" fontId="6" fillId="37" borderId="20" xfId="64" applyFont="1" applyFill="1" applyBorder="1"/>
    <xf numFmtId="0" fontId="6" fillId="37" borderId="8" xfId="64" applyFont="1" applyFill="1" applyBorder="1"/>
    <xf numFmtId="0" fontId="6" fillId="37" borderId="10" xfId="64" applyFont="1" applyFill="1" applyBorder="1"/>
    <xf numFmtId="0" fontId="59" fillId="0" borderId="0" xfId="66" applyFont="1"/>
    <xf numFmtId="0" fontId="1" fillId="0" borderId="0" xfId="66"/>
    <xf numFmtId="0" fontId="1" fillId="0" borderId="24" xfId="66" applyBorder="1" applyAlignment="1">
      <alignment vertical="center"/>
    </xf>
    <xf numFmtId="0" fontId="1" fillId="0" borderId="57" xfId="66" applyBorder="1" applyAlignment="1">
      <alignment horizontal="center" vertical="center" wrapText="1"/>
    </xf>
    <xf numFmtId="0" fontId="59" fillId="0" borderId="51" xfId="66" applyFont="1" applyFill="1" applyBorder="1" applyAlignment="1">
      <alignment horizontal="center" wrapText="1"/>
    </xf>
    <xf numFmtId="0" fontId="59" fillId="0" borderId="70" xfId="66" applyFont="1" applyFill="1" applyBorder="1" applyAlignment="1">
      <alignment horizontal="center"/>
    </xf>
    <xf numFmtId="0" fontId="1" fillId="0" borderId="39" xfId="66" applyBorder="1" applyAlignment="1">
      <alignment horizontal="left"/>
    </xf>
    <xf numFmtId="3" fontId="1" fillId="0" borderId="60" xfId="66" applyNumberFormat="1" applyBorder="1"/>
    <xf numFmtId="164" fontId="1" fillId="0" borderId="61" xfId="66" applyNumberFormat="1" applyBorder="1"/>
    <xf numFmtId="165" fontId="1" fillId="0" borderId="68" xfId="66" applyNumberFormat="1" applyBorder="1"/>
    <xf numFmtId="9" fontId="1" fillId="0" borderId="60" xfId="66" applyNumberFormat="1" applyBorder="1"/>
    <xf numFmtId="9" fontId="1" fillId="0" borderId="68" xfId="66" applyNumberFormat="1" applyBorder="1"/>
    <xf numFmtId="0" fontId="1" fillId="0" borderId="40" xfId="66" applyBorder="1" applyAlignment="1">
      <alignment horizontal="left"/>
    </xf>
    <xf numFmtId="3" fontId="1" fillId="0" borderId="41" xfId="66" applyNumberFormat="1" applyBorder="1"/>
    <xf numFmtId="164" fontId="1" fillId="0" borderId="43" xfId="66" applyNumberFormat="1" applyBorder="1"/>
    <xf numFmtId="165" fontId="1" fillId="0" borderId="64" xfId="66" applyNumberFormat="1" applyBorder="1"/>
    <xf numFmtId="9" fontId="1" fillId="0" borderId="41" xfId="66" applyNumberFormat="1" applyBorder="1"/>
    <xf numFmtId="9" fontId="1" fillId="0" borderId="64" xfId="66" applyNumberFormat="1" applyBorder="1"/>
    <xf numFmtId="3" fontId="1" fillId="0" borderId="51" xfId="66" applyNumberFormat="1" applyBorder="1"/>
    <xf numFmtId="165" fontId="1" fillId="0" borderId="59" xfId="66" applyNumberFormat="1" applyBorder="1"/>
    <xf numFmtId="9" fontId="1" fillId="0" borderId="46" xfId="66" applyNumberFormat="1" applyBorder="1"/>
    <xf numFmtId="9" fontId="1" fillId="0" borderId="66" xfId="66" applyNumberFormat="1" applyBorder="1"/>
    <xf numFmtId="0" fontId="8" fillId="0" borderId="20" xfId="66" applyFont="1" applyBorder="1"/>
    <xf numFmtId="3" fontId="8" fillId="26" borderId="9" xfId="66" applyNumberFormat="1" applyFont="1" applyFill="1" applyBorder="1"/>
    <xf numFmtId="164" fontId="8" fillId="26" borderId="73" xfId="66" applyNumberFormat="1" applyFont="1" applyFill="1" applyBorder="1"/>
    <xf numFmtId="3" fontId="8" fillId="38" borderId="9" xfId="66" applyNumberFormat="1" applyFont="1" applyFill="1" applyBorder="1"/>
    <xf numFmtId="164" fontId="8" fillId="38" borderId="73" xfId="66" applyNumberFormat="1" applyFont="1" applyFill="1" applyBorder="1"/>
    <xf numFmtId="1" fontId="8" fillId="39" borderId="9" xfId="66" applyNumberFormat="1" applyFont="1" applyFill="1" applyBorder="1"/>
    <xf numFmtId="165" fontId="8" fillId="39" borderId="19" xfId="66" applyNumberFormat="1" applyFont="1" applyFill="1" applyBorder="1"/>
    <xf numFmtId="9" fontId="8" fillId="40" borderId="9" xfId="66" applyNumberFormat="1" applyFont="1" applyFill="1" applyBorder="1"/>
    <xf numFmtId="9" fontId="8" fillId="40" borderId="73" xfId="66" applyNumberFormat="1" applyFont="1" applyFill="1" applyBorder="1"/>
    <xf numFmtId="164" fontId="1" fillId="0" borderId="0" xfId="66" applyNumberFormat="1"/>
    <xf numFmtId="0" fontId="6" fillId="29" borderId="20" xfId="66" applyFont="1" applyFill="1" applyBorder="1"/>
    <xf numFmtId="0" fontId="6" fillId="29" borderId="8" xfId="66" applyFont="1" applyFill="1" applyBorder="1"/>
    <xf numFmtId="0" fontId="6" fillId="29" borderId="10" xfId="66" applyFont="1" applyFill="1" applyBorder="1"/>
    <xf numFmtId="0" fontId="6" fillId="0" borderId="0" xfId="66" applyFont="1" applyFill="1" applyBorder="1"/>
    <xf numFmtId="3" fontId="1" fillId="0" borderId="0" xfId="66" applyNumberFormat="1"/>
    <xf numFmtId="0" fontId="0" fillId="0" borderId="0" xfId="66" applyFont="1"/>
    <xf numFmtId="165" fontId="6" fillId="0" borderId="7" xfId="0" applyNumberFormat="1" applyFont="1" applyBorder="1"/>
    <xf numFmtId="0" fontId="6" fillId="0" borderId="7" xfId="64" applyFont="1" applyBorder="1"/>
    <xf numFmtId="0" fontId="29" fillId="0" borderId="0" xfId="50"/>
    <xf numFmtId="0" fontId="77" fillId="0" borderId="9" xfId="50" applyFont="1" applyBorder="1" applyAlignment="1">
      <alignment horizontal="center" vertical="center" wrapText="1"/>
    </xf>
    <xf numFmtId="0" fontId="77" fillId="0" borderId="76" xfId="50" applyFont="1" applyBorder="1" applyAlignment="1">
      <alignment horizontal="center" vertical="center" wrapText="1"/>
    </xf>
    <xf numFmtId="0" fontId="77" fillId="0" borderId="73" xfId="50" applyFont="1" applyBorder="1" applyAlignment="1">
      <alignment horizontal="center" vertical="center" wrapText="1"/>
    </xf>
    <xf numFmtId="0" fontId="78" fillId="0" borderId="9" xfId="50" applyFont="1" applyBorder="1" applyAlignment="1">
      <alignment horizontal="center" vertical="center" wrapText="1"/>
    </xf>
    <xf numFmtId="0" fontId="78" fillId="0" borderId="76" xfId="50" applyFont="1" applyBorder="1" applyAlignment="1">
      <alignment horizontal="center" vertical="center" wrapText="1"/>
    </xf>
    <xf numFmtId="0" fontId="78" fillId="0" borderId="73" xfId="50" applyFont="1" applyBorder="1" applyAlignment="1">
      <alignment horizontal="center" vertical="center" wrapText="1"/>
    </xf>
    <xf numFmtId="0" fontId="78" fillId="0" borderId="42" xfId="50" applyFont="1" applyBorder="1" applyAlignment="1">
      <alignment horizontal="center" vertical="center" wrapText="1"/>
    </xf>
    <xf numFmtId="0" fontId="77" fillId="0" borderId="0" xfId="50" applyFont="1" applyBorder="1" applyAlignment="1">
      <alignment horizontal="center" vertical="center" wrapText="1"/>
    </xf>
    <xf numFmtId="0" fontId="77" fillId="0" borderId="0" xfId="50" applyFont="1" applyBorder="1" applyAlignment="1">
      <alignment horizontal="right" vertical="center" wrapText="1"/>
    </xf>
    <xf numFmtId="0" fontId="78" fillId="0" borderId="0" xfId="50" applyFont="1" applyBorder="1" applyAlignment="1">
      <alignment horizontal="right" vertical="center" wrapText="1"/>
    </xf>
    <xf numFmtId="0" fontId="78" fillId="0" borderId="75" xfId="50" applyFont="1" applyBorder="1" applyAlignment="1">
      <alignment vertical="center" wrapText="1"/>
    </xf>
    <xf numFmtId="3" fontId="78" fillId="0" borderId="75" xfId="50" applyNumberFormat="1" applyFont="1" applyBorder="1" applyAlignment="1">
      <alignment horizontal="right" wrapText="1"/>
    </xf>
    <xf numFmtId="0" fontId="78" fillId="0" borderId="42" xfId="50" applyFont="1" applyBorder="1" applyAlignment="1">
      <alignment vertical="center" wrapText="1"/>
    </xf>
    <xf numFmtId="3" fontId="78" fillId="0" borderId="42" xfId="50" applyNumberFormat="1" applyFont="1" applyBorder="1" applyAlignment="1">
      <alignment horizontal="right" wrapText="1"/>
    </xf>
    <xf numFmtId="0" fontId="78" fillId="0" borderId="81" xfId="50" applyFont="1" applyBorder="1" applyAlignment="1">
      <alignment vertical="center" wrapText="1"/>
    </xf>
    <xf numFmtId="3" fontId="78" fillId="0" borderId="81" xfId="50" applyNumberFormat="1" applyFont="1" applyBorder="1" applyAlignment="1">
      <alignment horizontal="right" wrapText="1"/>
    </xf>
    <xf numFmtId="0" fontId="77" fillId="0" borderId="9" xfId="50" applyFont="1" applyBorder="1" applyAlignment="1">
      <alignment vertical="center" wrapText="1"/>
    </xf>
    <xf numFmtId="3" fontId="77" fillId="0" borderId="76" xfId="50" applyNumberFormat="1" applyFont="1" applyBorder="1" applyAlignment="1">
      <alignment horizontal="right" wrapText="1"/>
    </xf>
    <xf numFmtId="0" fontId="80" fillId="0" borderId="0" xfId="50" applyFont="1" applyAlignment="1">
      <alignment vertical="center"/>
    </xf>
    <xf numFmtId="0" fontId="79" fillId="0" borderId="0" xfId="50" applyFont="1" applyAlignment="1">
      <alignment vertical="center"/>
    </xf>
    <xf numFmtId="0" fontId="85" fillId="0" borderId="0" xfId="50" applyFont="1"/>
    <xf numFmtId="0" fontId="6" fillId="0" borderId="7" xfId="50" applyFont="1" applyBorder="1"/>
    <xf numFmtId="0" fontId="78" fillId="0" borderId="0" xfId="39" applyFont="1" applyAlignment="1">
      <alignment horizontal="left" indent="1"/>
    </xf>
    <xf numFmtId="0" fontId="93" fillId="0" borderId="84" xfId="39" applyFont="1" applyBorder="1" applyAlignment="1">
      <alignment horizontal="center" vertical="center" wrapText="1"/>
    </xf>
    <xf numFmtId="0" fontId="93" fillId="0" borderId="85" xfId="39" applyFont="1" applyBorder="1" applyAlignment="1">
      <alignment horizontal="center" vertical="center" wrapText="1"/>
    </xf>
    <xf numFmtId="4" fontId="94" fillId="0" borderId="20" xfId="39" applyNumberFormat="1" applyFont="1" applyFill="1" applyBorder="1" applyAlignment="1">
      <alignment horizontal="center" vertical="center" wrapText="1"/>
    </xf>
    <xf numFmtId="4" fontId="94" fillId="41" borderId="7" xfId="39" applyNumberFormat="1" applyFont="1" applyFill="1" applyBorder="1" applyAlignment="1">
      <alignment horizontal="center" vertical="center" wrapText="1"/>
    </xf>
    <xf numFmtId="4" fontId="94" fillId="38" borderId="7" xfId="39" applyNumberFormat="1" applyFont="1" applyFill="1" applyBorder="1" applyAlignment="1">
      <alignment horizontal="center" vertical="center" wrapText="1"/>
    </xf>
    <xf numFmtId="4" fontId="87" fillId="0" borderId="7" xfId="39" applyNumberFormat="1" applyFont="1" applyFill="1" applyBorder="1" applyAlignment="1">
      <alignment horizontal="center" vertical="center" wrapText="1"/>
    </xf>
    <xf numFmtId="0" fontId="95" fillId="18" borderId="86" xfId="39" applyFont="1" applyFill="1" applyBorder="1" applyAlignment="1">
      <alignment horizontal="left" wrapText="1" indent="4"/>
    </xf>
    <xf numFmtId="0" fontId="93" fillId="18" borderId="87" xfId="39" applyFont="1" applyFill="1" applyBorder="1" applyAlignment="1">
      <alignment wrapText="1"/>
    </xf>
    <xf numFmtId="43" fontId="96" fillId="18" borderId="23" xfId="63" applyFont="1" applyFill="1" applyBorder="1" applyAlignment="1">
      <alignment horizontal="right" wrapText="1"/>
    </xf>
    <xf numFmtId="4" fontId="96" fillId="18" borderId="14" xfId="39" applyNumberFormat="1" applyFont="1" applyFill="1" applyBorder="1" applyAlignment="1">
      <alignment horizontal="right" wrapText="1"/>
    </xf>
    <xf numFmtId="3" fontId="96" fillId="18" borderId="11" xfId="39" applyNumberFormat="1" applyFont="1" applyFill="1" applyBorder="1" applyAlignment="1">
      <alignment horizontal="right" wrapText="1"/>
    </xf>
    <xf numFmtId="43" fontId="97" fillId="0" borderId="11" xfId="63" applyFont="1" applyFill="1" applyBorder="1" applyAlignment="1">
      <alignment horizontal="right" wrapText="1"/>
    </xf>
    <xf numFmtId="0" fontId="93" fillId="28" borderId="88" xfId="39" applyFont="1" applyFill="1" applyBorder="1" applyAlignment="1">
      <alignment horizontal="left" wrapText="1" indent="4"/>
    </xf>
    <xf numFmtId="0" fontId="93" fillId="28" borderId="89" xfId="39" applyFont="1" applyFill="1" applyBorder="1" applyAlignment="1">
      <alignment wrapText="1"/>
    </xf>
    <xf numFmtId="43" fontId="96" fillId="28" borderId="15" xfId="63" applyFont="1" applyFill="1" applyBorder="1" applyAlignment="1">
      <alignment wrapText="1"/>
    </xf>
    <xf numFmtId="4" fontId="96" fillId="28" borderId="44" xfId="68" applyNumberFormat="1" applyFont="1" applyFill="1" applyBorder="1" applyAlignment="1">
      <alignment wrapText="1"/>
    </xf>
    <xf numFmtId="3" fontId="96" fillId="28" borderId="15" xfId="68" applyNumberFormat="1" applyFont="1" applyFill="1" applyBorder="1" applyAlignment="1">
      <alignment wrapText="1"/>
    </xf>
    <xf numFmtId="0" fontId="98" fillId="42" borderId="88" xfId="39" applyFont="1" applyFill="1" applyBorder="1" applyAlignment="1">
      <alignment wrapText="1"/>
    </xf>
    <xf numFmtId="0" fontId="98" fillId="42" borderId="89" xfId="39" applyFont="1" applyFill="1" applyBorder="1" applyAlignment="1">
      <alignment wrapText="1"/>
    </xf>
    <xf numFmtId="43" fontId="99" fillId="42" borderId="15" xfId="63" applyFont="1" applyFill="1" applyBorder="1" applyAlignment="1">
      <alignment wrapText="1"/>
    </xf>
    <xf numFmtId="4" fontId="99" fillId="42" borderId="44" xfId="68" applyNumberFormat="1" applyFont="1" applyFill="1" applyBorder="1" applyAlignment="1">
      <alignment wrapText="1"/>
    </xf>
    <xf numFmtId="3" fontId="99" fillId="42" borderId="15" xfId="68" applyNumberFormat="1" applyFont="1" applyFill="1" applyBorder="1" applyAlignment="1">
      <alignment wrapText="1"/>
    </xf>
    <xf numFmtId="0" fontId="100" fillId="43" borderId="88" xfId="39" applyFont="1" applyFill="1" applyBorder="1" applyAlignment="1">
      <alignment horizontal="center" wrapText="1"/>
    </xf>
    <xf numFmtId="0" fontId="100" fillId="43" borderId="89" xfId="39" applyFont="1" applyFill="1" applyBorder="1" applyAlignment="1">
      <alignment wrapText="1"/>
    </xf>
    <xf numFmtId="43" fontId="78" fillId="0" borderId="15" xfId="63" applyFont="1" applyBorder="1" applyAlignment="1">
      <alignment horizontal="left" indent="1"/>
    </xf>
    <xf numFmtId="4" fontId="78" fillId="0" borderId="44" xfId="68" applyNumberFormat="1" applyFont="1" applyBorder="1" applyAlignment="1"/>
    <xf numFmtId="4" fontId="78" fillId="0" borderId="15" xfId="68" applyNumberFormat="1" applyFont="1" applyBorder="1" applyAlignment="1"/>
    <xf numFmtId="43" fontId="81" fillId="0" borderId="15" xfId="63" applyFont="1" applyBorder="1" applyAlignment="1">
      <alignment horizontal="left" indent="1"/>
    </xf>
    <xf numFmtId="0" fontId="98" fillId="42" borderId="88" xfId="39" applyFont="1" applyFill="1" applyBorder="1" applyAlignment="1">
      <alignment horizontal="left" wrapText="1"/>
    </xf>
    <xf numFmtId="4" fontId="99" fillId="42" borderId="15" xfId="68" applyNumberFormat="1" applyFont="1" applyFill="1" applyBorder="1" applyAlignment="1">
      <alignment wrapText="1"/>
    </xf>
    <xf numFmtId="0" fontId="98" fillId="42" borderId="90" xfId="39" applyFont="1" applyFill="1" applyBorder="1" applyAlignment="1">
      <alignment horizontal="left" wrapText="1"/>
    </xf>
    <xf numFmtId="0" fontId="98" fillId="42" borderId="91" xfId="39" applyFont="1" applyFill="1" applyBorder="1" applyAlignment="1">
      <alignment wrapText="1"/>
    </xf>
    <xf numFmtId="0" fontId="100" fillId="43" borderId="86" xfId="39" applyFont="1" applyFill="1" applyBorder="1" applyAlignment="1">
      <alignment horizontal="center" wrapText="1"/>
    </xf>
    <xf numFmtId="0" fontId="100" fillId="43" borderId="87" xfId="39" applyFont="1" applyFill="1" applyBorder="1" applyAlignment="1">
      <alignment wrapText="1"/>
    </xf>
    <xf numFmtId="4" fontId="96" fillId="28" borderId="15" xfId="68" applyNumberFormat="1" applyFont="1" applyFill="1" applyBorder="1" applyAlignment="1">
      <alignment wrapText="1"/>
    </xf>
    <xf numFmtId="43" fontId="81" fillId="0" borderId="15" xfId="63" applyFont="1" applyFill="1" applyBorder="1" applyAlignment="1">
      <alignment horizontal="left" indent="1"/>
    </xf>
    <xf numFmtId="43" fontId="101" fillId="18" borderId="11" xfId="63" applyFont="1" applyFill="1" applyBorder="1" applyAlignment="1">
      <alignment horizontal="right" wrapText="1"/>
    </xf>
    <xf numFmtId="43" fontId="78" fillId="0" borderId="0" xfId="39" applyNumberFormat="1" applyFont="1" applyAlignment="1">
      <alignment horizontal="left" indent="1"/>
    </xf>
    <xf numFmtId="43" fontId="87" fillId="44" borderId="15" xfId="63" applyFont="1" applyFill="1" applyBorder="1" applyAlignment="1">
      <alignment horizontal="left" indent="1"/>
    </xf>
    <xf numFmtId="43" fontId="67" fillId="44" borderId="15" xfId="63" applyFont="1" applyFill="1" applyBorder="1" applyAlignment="1">
      <alignment horizontal="left" indent="1"/>
    </xf>
    <xf numFmtId="43" fontId="78" fillId="0" borderId="0" xfId="63" applyFont="1" applyAlignment="1">
      <alignment horizontal="left" indent="1"/>
    </xf>
    <xf numFmtId="43" fontId="78" fillId="0" borderId="15" xfId="63" applyFont="1" applyFill="1" applyBorder="1" applyAlignment="1">
      <alignment horizontal="left" indent="1"/>
    </xf>
    <xf numFmtId="0" fontId="87" fillId="0" borderId="0" xfId="39" applyFont="1" applyAlignment="1">
      <alignment horizontal="left" indent="1"/>
    </xf>
    <xf numFmtId="43" fontId="93" fillId="42" borderId="15" xfId="63" applyFont="1" applyFill="1" applyBorder="1" applyAlignment="1">
      <alignment wrapText="1"/>
    </xf>
    <xf numFmtId="4" fontId="93" fillId="42" borderId="44" xfId="68" applyNumberFormat="1" applyFont="1" applyFill="1" applyBorder="1" applyAlignment="1">
      <alignment wrapText="1"/>
    </xf>
    <xf numFmtId="4" fontId="93" fillId="42" borderId="15" xfId="68" applyNumberFormat="1" applyFont="1" applyFill="1" applyBorder="1" applyAlignment="1">
      <alignment wrapText="1"/>
    </xf>
    <xf numFmtId="4" fontId="86" fillId="0" borderId="44" xfId="68" applyNumberFormat="1" applyFont="1" applyFill="1" applyBorder="1" applyAlignment="1"/>
    <xf numFmtId="0" fontId="93" fillId="28" borderId="90" xfId="39" applyFont="1" applyFill="1" applyBorder="1" applyAlignment="1"/>
    <xf numFmtId="0" fontId="93" fillId="28" borderId="91" xfId="39" applyFont="1" applyFill="1" applyBorder="1" applyAlignment="1">
      <alignment wrapText="1"/>
    </xf>
    <xf numFmtId="43" fontId="96" fillId="28" borderId="11" xfId="63" applyFont="1" applyFill="1" applyBorder="1" applyAlignment="1">
      <alignment wrapText="1"/>
    </xf>
    <xf numFmtId="0" fontId="98" fillId="42" borderId="86" xfId="39" applyFont="1" applyFill="1" applyBorder="1" applyAlignment="1">
      <alignment horizontal="left" wrapText="1"/>
    </xf>
    <xf numFmtId="0" fontId="93" fillId="42" borderId="87" xfId="39" applyFont="1" applyFill="1" applyBorder="1" applyAlignment="1">
      <alignment wrapText="1"/>
    </xf>
    <xf numFmtId="43" fontId="99" fillId="42" borderId="11" xfId="63" applyFont="1" applyFill="1" applyBorder="1" applyAlignment="1">
      <alignment wrapText="1"/>
    </xf>
    <xf numFmtId="0" fontId="102" fillId="45" borderId="88" xfId="39" applyFont="1" applyFill="1" applyBorder="1" applyAlignment="1">
      <alignment horizontal="center" wrapText="1"/>
    </xf>
    <xf numFmtId="0" fontId="100" fillId="43" borderId="92" xfId="39" applyFont="1" applyFill="1" applyBorder="1" applyAlignment="1">
      <alignment horizontal="center" wrapText="1"/>
    </xf>
    <xf numFmtId="0" fontId="100" fillId="43" borderId="93" xfId="39" applyFont="1" applyFill="1" applyBorder="1" applyAlignment="1">
      <alignment wrapText="1"/>
    </xf>
    <xf numFmtId="0" fontId="100" fillId="43" borderId="41" xfId="39" applyFont="1" applyFill="1" applyBorder="1" applyAlignment="1">
      <alignment horizontal="center" wrapText="1"/>
    </xf>
    <xf numFmtId="0" fontId="100" fillId="43" borderId="43" xfId="39" applyFont="1" applyFill="1" applyBorder="1" applyAlignment="1">
      <alignment wrapText="1"/>
    </xf>
    <xf numFmtId="0" fontId="93" fillId="28" borderId="90" xfId="39" applyFont="1" applyFill="1" applyBorder="1" applyAlignment="1">
      <alignment horizontal="left"/>
    </xf>
    <xf numFmtId="0" fontId="95" fillId="18" borderId="94" xfId="39" applyFont="1" applyFill="1" applyBorder="1" applyAlignment="1">
      <alignment horizontal="left" wrapText="1" indent="4"/>
    </xf>
    <xf numFmtId="0" fontId="93" fillId="18" borderId="43" xfId="39" applyFont="1" applyFill="1" applyBorder="1" applyAlignment="1">
      <alignment wrapText="1"/>
    </xf>
    <xf numFmtId="43" fontId="103" fillId="18" borderId="15" xfId="63" applyFont="1" applyFill="1" applyBorder="1" applyAlignment="1">
      <alignment horizontal="right" wrapText="1"/>
    </xf>
    <xf numFmtId="4" fontId="103" fillId="18" borderId="44" xfId="39" applyNumberFormat="1" applyFont="1" applyFill="1" applyBorder="1" applyAlignment="1">
      <alignment horizontal="right" wrapText="1"/>
    </xf>
    <xf numFmtId="4" fontId="103" fillId="18" borderId="15" xfId="39" applyNumberFormat="1" applyFont="1" applyFill="1" applyBorder="1" applyAlignment="1">
      <alignment horizontal="right" wrapText="1"/>
    </xf>
    <xf numFmtId="4" fontId="104" fillId="28" borderId="95" xfId="39" applyNumberFormat="1" applyFont="1" applyFill="1" applyBorder="1" applyAlignment="1">
      <alignment horizontal="right" wrapText="1"/>
    </xf>
    <xf numFmtId="0" fontId="93" fillId="28" borderId="43" xfId="39" applyFont="1" applyFill="1" applyBorder="1" applyAlignment="1">
      <alignment wrapText="1"/>
    </xf>
    <xf numFmtId="43" fontId="103" fillId="28" borderId="15" xfId="63" applyFont="1" applyFill="1" applyBorder="1" applyAlignment="1">
      <alignment wrapText="1"/>
    </xf>
    <xf numFmtId="4" fontId="103" fillId="28" borderId="44" xfId="68" applyNumberFormat="1" applyFont="1" applyFill="1" applyBorder="1" applyAlignment="1">
      <alignment wrapText="1"/>
    </xf>
    <xf numFmtId="4" fontId="103" fillId="28" borderId="15" xfId="68" applyNumberFormat="1" applyFont="1" applyFill="1" applyBorder="1" applyAlignment="1">
      <alignment wrapText="1"/>
    </xf>
    <xf numFmtId="0" fontId="98" fillId="42" borderId="95" xfId="39" applyFont="1" applyFill="1" applyBorder="1" applyAlignment="1">
      <alignment wrapText="1"/>
    </xf>
    <xf numFmtId="0" fontId="98" fillId="42" borderId="43" xfId="39" applyFont="1" applyFill="1" applyBorder="1" applyAlignment="1">
      <alignment wrapText="1"/>
    </xf>
    <xf numFmtId="43" fontId="105" fillId="42" borderId="15" xfId="63" applyFont="1" applyFill="1" applyBorder="1" applyAlignment="1">
      <alignment wrapText="1"/>
    </xf>
    <xf numFmtId="4" fontId="105" fillId="42" borderId="44" xfId="68" applyNumberFormat="1" applyFont="1" applyFill="1" applyBorder="1" applyAlignment="1">
      <alignment wrapText="1"/>
    </xf>
    <xf numFmtId="4" fontId="105" fillId="42" borderId="15" xfId="68" applyNumberFormat="1" applyFont="1" applyFill="1" applyBorder="1" applyAlignment="1">
      <alignment wrapText="1"/>
    </xf>
    <xf numFmtId="0" fontId="100" fillId="43" borderId="96" xfId="39" applyFont="1" applyFill="1" applyBorder="1" applyAlignment="1">
      <alignment horizontal="center" wrapText="1"/>
    </xf>
    <xf numFmtId="0" fontId="100" fillId="43" borderId="94" xfId="39" applyFont="1" applyFill="1" applyBorder="1" applyAlignment="1">
      <alignment wrapText="1"/>
    </xf>
    <xf numFmtId="4" fontId="82" fillId="0" borderId="15" xfId="68" applyNumberFormat="1" applyFont="1" applyBorder="1" applyAlignment="1"/>
    <xf numFmtId="4" fontId="104" fillId="28" borderId="96" xfId="39" applyNumberFormat="1" applyFont="1" applyFill="1" applyBorder="1" applyAlignment="1">
      <alignment horizontal="right" wrapText="1"/>
    </xf>
    <xf numFmtId="0" fontId="93" fillId="28" borderId="95" xfId="39" applyFont="1" applyFill="1" applyBorder="1" applyAlignment="1">
      <alignment wrapText="1"/>
    </xf>
    <xf numFmtId="0" fontId="98" fillId="42" borderId="96" xfId="39" applyFont="1" applyFill="1" applyBorder="1" applyAlignment="1">
      <alignment wrapText="1"/>
    </xf>
    <xf numFmtId="0" fontId="100" fillId="43" borderId="95" xfId="39" applyFont="1" applyFill="1" applyBorder="1" applyAlignment="1">
      <alignment wrapText="1"/>
    </xf>
    <xf numFmtId="4" fontId="78" fillId="0" borderId="0" xfId="39" applyNumberFormat="1" applyFont="1" applyAlignment="1">
      <alignment horizontal="left" indent="1"/>
    </xf>
    <xf numFmtId="43" fontId="90" fillId="42" borderId="15" xfId="63" applyFont="1" applyFill="1" applyBorder="1" applyAlignment="1">
      <alignment wrapText="1"/>
    </xf>
    <xf numFmtId="4" fontId="90" fillId="42" borderId="44" xfId="68" applyNumberFormat="1" applyFont="1" applyFill="1" applyBorder="1" applyAlignment="1">
      <alignment wrapText="1"/>
    </xf>
    <xf numFmtId="4" fontId="90" fillId="42" borderId="15" xfId="68" applyNumberFormat="1" applyFont="1" applyFill="1" applyBorder="1" applyAlignment="1">
      <alignment wrapText="1"/>
    </xf>
    <xf numFmtId="3" fontId="104" fillId="28" borderId="95" xfId="39" applyNumberFormat="1" applyFont="1" applyFill="1" applyBorder="1" applyAlignment="1">
      <alignment horizontal="right" wrapText="1"/>
    </xf>
    <xf numFmtId="0" fontId="98" fillId="42" borderId="95" xfId="39" applyFont="1" applyFill="1" applyBorder="1" applyAlignment="1">
      <alignment horizontal="left" wrapText="1"/>
    </xf>
    <xf numFmtId="43" fontId="81" fillId="37" borderId="15" xfId="63" applyFont="1" applyFill="1" applyBorder="1" applyAlignment="1">
      <alignment horizontal="left" indent="1"/>
    </xf>
    <xf numFmtId="0" fontId="104" fillId="18" borderId="15" xfId="39" applyFont="1" applyFill="1" applyBorder="1" applyAlignment="1">
      <alignment horizontal="right" wrapText="1"/>
    </xf>
    <xf numFmtId="0" fontId="104" fillId="18" borderId="40" xfId="39" applyFont="1" applyFill="1" applyBorder="1" applyAlignment="1">
      <alignment wrapText="1"/>
    </xf>
    <xf numFmtId="43" fontId="106" fillId="18" borderId="15" xfId="63" applyFont="1" applyFill="1" applyBorder="1" applyAlignment="1">
      <alignment wrapText="1"/>
    </xf>
    <xf numFmtId="4" fontId="106" fillId="18" borderId="44" xfId="68" applyNumberFormat="1" applyFont="1" applyFill="1" applyBorder="1" applyAlignment="1">
      <alignment wrapText="1"/>
    </xf>
    <xf numFmtId="4" fontId="106" fillId="18" borderId="15" xfId="68" applyNumberFormat="1" applyFont="1" applyFill="1" applyBorder="1" applyAlignment="1">
      <alignment wrapText="1"/>
    </xf>
    <xf numFmtId="0" fontId="104" fillId="28" borderId="15" xfId="39" applyFont="1" applyFill="1" applyBorder="1" applyAlignment="1">
      <alignment horizontal="right" wrapText="1"/>
    </xf>
    <xf numFmtId="0" fontId="104" fillId="28" borderId="40" xfId="39" applyFont="1" applyFill="1" applyBorder="1" applyAlignment="1">
      <alignment wrapText="1"/>
    </xf>
    <xf numFmtId="43" fontId="106" fillId="28" borderId="15" xfId="63" applyFont="1" applyFill="1" applyBorder="1" applyAlignment="1">
      <alignment wrapText="1"/>
    </xf>
    <xf numFmtId="4" fontId="106" fillId="28" borderId="44" xfId="68" applyNumberFormat="1" applyFont="1" applyFill="1" applyBorder="1" applyAlignment="1">
      <alignment wrapText="1"/>
    </xf>
    <xf numFmtId="4" fontId="106" fillId="28" borderId="15" xfId="68" applyNumberFormat="1" applyFont="1" applyFill="1" applyBorder="1" applyAlignment="1">
      <alignment wrapText="1"/>
    </xf>
    <xf numFmtId="0" fontId="104" fillId="42" borderId="15" xfId="39" applyFont="1" applyFill="1" applyBorder="1" applyAlignment="1">
      <alignment horizontal="left" wrapText="1"/>
    </xf>
    <xf numFmtId="0" fontId="104" fillId="42" borderId="40" xfId="39" applyFont="1" applyFill="1" applyBorder="1" applyAlignment="1">
      <alignment wrapText="1"/>
    </xf>
    <xf numFmtId="43" fontId="107" fillId="42" borderId="15" xfId="63" applyFont="1" applyFill="1" applyBorder="1" applyAlignment="1">
      <alignment wrapText="1"/>
    </xf>
    <xf numFmtId="4" fontId="107" fillId="42" borderId="44" xfId="68" applyNumberFormat="1" applyFont="1" applyFill="1" applyBorder="1" applyAlignment="1">
      <alignment wrapText="1"/>
    </xf>
    <xf numFmtId="4" fontId="107" fillId="42" borderId="15" xfId="68" applyNumberFormat="1" applyFont="1" applyFill="1" applyBorder="1" applyAlignment="1">
      <alignment wrapText="1"/>
    </xf>
    <xf numFmtId="0" fontId="100" fillId="43" borderId="17" xfId="39" applyFont="1" applyFill="1" applyBorder="1" applyAlignment="1">
      <alignment horizontal="center" wrapText="1"/>
    </xf>
    <xf numFmtId="0" fontId="100" fillId="43" borderId="52" xfId="39" applyFont="1" applyFill="1" applyBorder="1" applyAlignment="1">
      <alignment wrapText="1"/>
    </xf>
    <xf numFmtId="43" fontId="78" fillId="0" borderId="55" xfId="63" applyFont="1" applyBorder="1" applyAlignment="1">
      <alignment horizontal="left" indent="1"/>
    </xf>
    <xf numFmtId="4" fontId="78" fillId="0" borderId="97" xfId="68" applyNumberFormat="1" applyFont="1" applyBorder="1" applyAlignment="1"/>
    <xf numFmtId="4" fontId="78" fillId="0" borderId="55" xfId="68" applyNumberFormat="1" applyFont="1" applyBorder="1" applyAlignment="1"/>
    <xf numFmtId="0" fontId="94" fillId="30" borderId="20" xfId="39" applyFont="1" applyFill="1" applyBorder="1" applyAlignment="1"/>
    <xf numFmtId="3" fontId="94" fillId="41" borderId="7" xfId="68" applyNumberFormat="1" applyFont="1" applyFill="1" applyBorder="1" applyAlignment="1"/>
    <xf numFmtId="4" fontId="94" fillId="41" borderId="10" xfId="68" applyNumberFormat="1" applyFont="1" applyFill="1" applyBorder="1" applyAlignment="1"/>
    <xf numFmtId="4" fontId="94" fillId="41" borderId="7" xfId="68" applyNumberFormat="1" applyFont="1" applyFill="1" applyBorder="1" applyAlignment="1"/>
    <xf numFmtId="0" fontId="78" fillId="0" borderId="0" xfId="39" applyFont="1" applyAlignment="1"/>
    <xf numFmtId="4" fontId="78" fillId="0" borderId="0" xfId="68" applyNumberFormat="1" applyFont="1" applyFill="1" applyAlignment="1"/>
    <xf numFmtId="0" fontId="78" fillId="0" borderId="0" xfId="39" applyFont="1" applyBorder="1" applyAlignment="1">
      <alignment horizontal="left" indent="1"/>
    </xf>
    <xf numFmtId="4" fontId="86" fillId="0" borderId="60" xfId="68" applyNumberFormat="1" applyFont="1" applyFill="1" applyBorder="1" applyAlignment="1"/>
    <xf numFmtId="4" fontId="78" fillId="0" borderId="41" xfId="68" applyNumberFormat="1" applyFont="1" applyBorder="1" applyAlignment="1"/>
    <xf numFmtId="4" fontId="78" fillId="0" borderId="46" xfId="68" applyNumberFormat="1" applyFont="1" applyBorder="1" applyAlignment="1"/>
    <xf numFmtId="4" fontId="78" fillId="0" borderId="17" xfId="68" applyNumberFormat="1" applyFont="1" applyBorder="1" applyAlignment="1"/>
    <xf numFmtId="4" fontId="77" fillId="0" borderId="0" xfId="39" applyNumberFormat="1" applyFont="1" applyBorder="1" applyAlignment="1">
      <alignment horizontal="left" indent="1"/>
    </xf>
    <xf numFmtId="0" fontId="25" fillId="0" borderId="0" xfId="67" applyNumberFormat="1" applyFont="1" applyFill="1" applyBorder="1" applyAlignment="1" applyProtection="1">
      <alignment vertical="center"/>
    </xf>
    <xf numFmtId="4" fontId="9" fillId="0" borderId="0" xfId="0" applyNumberFormat="1" applyFont="1"/>
    <xf numFmtId="4" fontId="78" fillId="0" borderId="0" xfId="39" applyNumberFormat="1" applyFont="1" applyAlignment="1"/>
    <xf numFmtId="4" fontId="78" fillId="0" borderId="0" xfId="69" applyNumberFormat="1" applyFont="1" applyAlignment="1"/>
    <xf numFmtId="0" fontId="25" fillId="0" borderId="0" xfId="67" applyNumberFormat="1" applyFont="1" applyFill="1" applyBorder="1" applyAlignment="1" applyProtection="1"/>
    <xf numFmtId="0" fontId="90" fillId="0" borderId="0" xfId="67" applyNumberFormat="1" applyFont="1" applyFill="1" applyBorder="1" applyAlignment="1" applyProtection="1"/>
    <xf numFmtId="0" fontId="96" fillId="0" borderId="0" xfId="67" applyNumberFormat="1" applyFont="1" applyFill="1" applyBorder="1" applyAlignment="1" applyProtection="1">
      <alignment vertical="center" wrapText="1"/>
    </xf>
    <xf numFmtId="0" fontId="96" fillId="0" borderId="0" xfId="67" applyNumberFormat="1" applyFont="1" applyFill="1" applyBorder="1" applyAlignment="1" applyProtection="1">
      <alignment vertical="center"/>
    </xf>
    <xf numFmtId="1" fontId="27" fillId="0" borderId="0" xfId="67" applyNumberFormat="1" applyFont="1" applyAlignment="1">
      <alignment wrapText="1"/>
    </xf>
    <xf numFmtId="0" fontId="27" fillId="0" borderId="0" xfId="67" applyFont="1"/>
    <xf numFmtId="0" fontId="27" fillId="0" borderId="0" xfId="67" applyFont="1" applyAlignment="1">
      <alignment horizontal="right"/>
    </xf>
    <xf numFmtId="0" fontId="27" fillId="0" borderId="0" xfId="67" applyFont="1" applyBorder="1" applyAlignment="1">
      <alignment horizontal="right"/>
    </xf>
    <xf numFmtId="1" fontId="108" fillId="46" borderId="1" xfId="67" applyNumberFormat="1" applyFont="1" applyFill="1" applyBorder="1" applyAlignment="1">
      <alignment horizontal="right" vertical="top" wrapText="1"/>
    </xf>
    <xf numFmtId="0" fontId="108" fillId="0" borderId="0" xfId="67" applyFont="1" applyFill="1" applyBorder="1" applyAlignment="1">
      <alignment vertical="center"/>
    </xf>
    <xf numFmtId="1" fontId="108" fillId="46" borderId="4" xfId="67" applyNumberFormat="1" applyFont="1" applyFill="1" applyBorder="1" applyAlignment="1">
      <alignment horizontal="left" wrapText="1"/>
    </xf>
    <xf numFmtId="1" fontId="108" fillId="46" borderId="7" xfId="67" applyNumberFormat="1" applyFont="1" applyFill="1" applyBorder="1" applyAlignment="1">
      <alignment horizontal="left" vertical="center" wrapText="1"/>
    </xf>
    <xf numFmtId="1" fontId="108" fillId="46" borderId="9" xfId="67" applyNumberFormat="1" applyFont="1" applyFill="1" applyBorder="1" applyAlignment="1">
      <alignment horizontal="left" vertical="center" wrapText="1"/>
    </xf>
    <xf numFmtId="0" fontId="108" fillId="0" borderId="82" xfId="67" applyFont="1" applyBorder="1" applyAlignment="1">
      <alignment vertical="center" wrapText="1"/>
    </xf>
    <xf numFmtId="0" fontId="108" fillId="0" borderId="76" xfId="67" applyFont="1" applyBorder="1" applyAlignment="1">
      <alignment vertical="center" wrapText="1"/>
    </xf>
    <xf numFmtId="0" fontId="108" fillId="0" borderId="19" xfId="67" applyFont="1" applyBorder="1" applyAlignment="1">
      <alignment vertical="center" wrapText="1"/>
    </xf>
    <xf numFmtId="0" fontId="65" fillId="30" borderId="7" xfId="67" applyFont="1" applyFill="1" applyBorder="1" applyAlignment="1">
      <alignment horizontal="center" vertical="center" wrapText="1"/>
    </xf>
    <xf numFmtId="0" fontId="90" fillId="41" borderId="8" xfId="67" applyNumberFormat="1" applyFont="1" applyFill="1" applyBorder="1" applyAlignment="1" applyProtection="1">
      <alignment horizontal="center" vertical="center" wrapText="1"/>
    </xf>
    <xf numFmtId="0" fontId="90" fillId="0" borderId="7" xfId="67" applyNumberFormat="1" applyFont="1" applyFill="1" applyBorder="1" applyAlignment="1" applyProtection="1">
      <alignment horizontal="center" vertical="center"/>
    </xf>
    <xf numFmtId="1" fontId="26" fillId="46" borderId="23" xfId="67" applyNumberFormat="1" applyFont="1" applyFill="1" applyBorder="1" applyAlignment="1">
      <alignment horizontal="left" wrapText="1"/>
    </xf>
    <xf numFmtId="3" fontId="26" fillId="46" borderId="50" xfId="69" applyNumberFormat="1" applyFont="1" applyFill="1" applyBorder="1" applyAlignment="1">
      <alignment wrapText="1"/>
    </xf>
    <xf numFmtId="3" fontId="108" fillId="0" borderId="67" xfId="69" applyNumberFormat="1" applyFont="1" applyFill="1" applyBorder="1" applyAlignment="1">
      <alignment wrapText="1"/>
    </xf>
    <xf numFmtId="3" fontId="108" fillId="0" borderId="83" xfId="69" applyNumberFormat="1" applyFont="1" applyFill="1" applyBorder="1" applyAlignment="1">
      <alignment wrapText="1"/>
    </xf>
    <xf numFmtId="3" fontId="27" fillId="0" borderId="83" xfId="69" applyNumberFormat="1" applyFont="1" applyFill="1" applyBorder="1" applyAlignment="1">
      <alignment wrapText="1"/>
    </xf>
    <xf numFmtId="3" fontId="108" fillId="0" borderId="61" xfId="69" applyNumberFormat="1" applyFont="1" applyFill="1" applyBorder="1" applyAlignment="1">
      <alignment wrapText="1"/>
    </xf>
    <xf numFmtId="4" fontId="26" fillId="30" borderId="11" xfId="69" applyNumberFormat="1" applyFont="1" applyFill="1" applyBorder="1" applyAlignment="1">
      <alignment wrapText="1"/>
    </xf>
    <xf numFmtId="4" fontId="25" fillId="0" borderId="12" xfId="63" applyNumberFormat="1" applyFont="1" applyFill="1" applyBorder="1" applyAlignment="1" applyProtection="1"/>
    <xf numFmtId="4" fontId="25" fillId="0" borderId="11" xfId="63" applyNumberFormat="1" applyFont="1" applyFill="1" applyBorder="1" applyAlignment="1" applyProtection="1"/>
    <xf numFmtId="3" fontId="25" fillId="0" borderId="11" xfId="67" applyNumberFormat="1" applyFont="1" applyFill="1" applyBorder="1" applyAlignment="1" applyProtection="1"/>
    <xf numFmtId="3" fontId="25" fillId="0" borderId="0" xfId="67" applyNumberFormat="1" applyFont="1" applyFill="1" applyBorder="1" applyAlignment="1" applyProtection="1"/>
    <xf numFmtId="1" fontId="26" fillId="46" borderId="11" xfId="67" applyNumberFormat="1" applyFont="1" applyFill="1" applyBorder="1" applyAlignment="1">
      <alignment horizontal="left" wrapText="1"/>
    </xf>
    <xf numFmtId="3" fontId="108" fillId="0" borderId="50" xfId="69" applyNumberFormat="1" applyFont="1" applyFill="1" applyBorder="1" applyAlignment="1">
      <alignment wrapText="1"/>
    </xf>
    <xf numFmtId="3" fontId="108" fillId="0" borderId="75" xfId="69" applyNumberFormat="1" applyFont="1" applyFill="1" applyBorder="1" applyAlignment="1">
      <alignment wrapText="1"/>
    </xf>
    <xf numFmtId="3" fontId="27" fillId="0" borderId="75" xfId="69" applyNumberFormat="1" applyFont="1" applyFill="1" applyBorder="1" applyAlignment="1">
      <alignment wrapText="1"/>
    </xf>
    <xf numFmtId="3" fontId="108" fillId="0" borderId="74" xfId="69" applyNumberFormat="1" applyFont="1" applyFill="1" applyBorder="1" applyAlignment="1">
      <alignment wrapText="1"/>
    </xf>
    <xf numFmtId="4" fontId="25" fillId="0" borderId="16" xfId="63" applyNumberFormat="1" applyFont="1" applyFill="1" applyBorder="1" applyAlignment="1" applyProtection="1"/>
    <xf numFmtId="1" fontId="27" fillId="0" borderId="15" xfId="67" applyNumberFormat="1" applyFont="1" applyBorder="1" applyAlignment="1">
      <alignment horizontal="left" wrapText="1"/>
    </xf>
    <xf numFmtId="3" fontId="27" fillId="0" borderId="80" xfId="69" applyNumberFormat="1" applyFont="1" applyBorder="1" applyAlignment="1">
      <alignment wrapText="1"/>
    </xf>
    <xf numFmtId="3" fontId="27" fillId="0" borderId="50" xfId="69" applyNumberFormat="1" applyFont="1" applyBorder="1" applyAlignment="1">
      <alignment wrapText="1"/>
    </xf>
    <xf numFmtId="3" fontId="27" fillId="0" borderId="50" xfId="69" applyNumberFormat="1" applyFont="1" applyFill="1" applyBorder="1" applyAlignment="1">
      <alignment wrapText="1"/>
    </xf>
    <xf numFmtId="3" fontId="27" fillId="0" borderId="75" xfId="69" applyNumberFormat="1" applyFont="1" applyFill="1" applyBorder="1" applyAlignment="1"/>
    <xf numFmtId="3" fontId="27" fillId="0" borderId="74" xfId="69" applyNumberFormat="1" applyFont="1" applyFill="1" applyBorder="1" applyAlignment="1">
      <alignment wrapText="1"/>
    </xf>
    <xf numFmtId="4" fontId="26" fillId="30" borderId="15" xfId="69" applyNumberFormat="1" applyFont="1" applyFill="1" applyBorder="1" applyAlignment="1">
      <alignment wrapText="1"/>
    </xf>
    <xf numFmtId="3" fontId="27" fillId="0" borderId="80" xfId="69" applyNumberFormat="1" applyFont="1" applyFill="1" applyBorder="1" applyAlignment="1"/>
    <xf numFmtId="3" fontId="27" fillId="0" borderId="42" xfId="69" applyNumberFormat="1" applyFont="1" applyFill="1" applyBorder="1" applyAlignment="1"/>
    <xf numFmtId="3" fontId="27" fillId="0" borderId="43" xfId="69" applyNumberFormat="1" applyFont="1" applyFill="1" applyBorder="1" applyAlignment="1"/>
    <xf numFmtId="3" fontId="27" fillId="26" borderId="80" xfId="69" applyNumberFormat="1" applyFont="1" applyFill="1" applyBorder="1" applyAlignment="1">
      <alignment wrapText="1"/>
    </xf>
    <xf numFmtId="3" fontId="27" fillId="0" borderId="80" xfId="69" applyNumberFormat="1" applyFont="1" applyFill="1" applyBorder="1" applyAlignment="1">
      <alignment wrapText="1"/>
    </xf>
    <xf numFmtId="1" fontId="27" fillId="0" borderId="55" xfId="67" applyNumberFormat="1" applyFont="1" applyBorder="1" applyAlignment="1">
      <alignment horizontal="left" wrapText="1"/>
    </xf>
    <xf numFmtId="3" fontId="27" fillId="0" borderId="98" xfId="69" applyNumberFormat="1" applyFont="1" applyBorder="1" applyAlignment="1">
      <alignment wrapText="1"/>
    </xf>
    <xf numFmtId="4" fontId="26" fillId="30" borderId="55" xfId="69" applyNumberFormat="1" applyFont="1" applyFill="1" applyBorder="1" applyAlignment="1">
      <alignment wrapText="1"/>
    </xf>
    <xf numFmtId="4" fontId="25" fillId="0" borderId="40" xfId="63" applyNumberFormat="1" applyFont="1" applyFill="1" applyBorder="1" applyAlignment="1" applyProtection="1"/>
    <xf numFmtId="3" fontId="25" fillId="0" borderId="15" xfId="67" applyNumberFormat="1" applyFont="1" applyFill="1" applyBorder="1" applyAlignment="1" applyProtection="1"/>
    <xf numFmtId="1" fontId="27" fillId="0" borderId="17" xfId="67" applyNumberFormat="1" applyFont="1" applyBorder="1" applyAlignment="1">
      <alignment horizontal="left" wrapText="1"/>
    </xf>
    <xf numFmtId="4" fontId="25" fillId="0" borderId="0" xfId="63" applyNumberFormat="1" applyFont="1" applyFill="1" applyBorder="1" applyAlignment="1" applyProtection="1"/>
    <xf numFmtId="3" fontId="25" fillId="0" borderId="22" xfId="67" applyNumberFormat="1" applyFont="1" applyFill="1" applyBorder="1" applyAlignment="1" applyProtection="1"/>
    <xf numFmtId="1" fontId="108" fillId="0" borderId="7" xfId="67" applyNumberFormat="1" applyFont="1" applyBorder="1" applyAlignment="1">
      <alignment wrapText="1"/>
    </xf>
    <xf numFmtId="3" fontId="26" fillId="0" borderId="7" xfId="69" applyNumberFormat="1" applyFont="1" applyBorder="1" applyAlignment="1">
      <alignment wrapText="1"/>
    </xf>
    <xf numFmtId="4" fontId="65" fillId="30" borderId="7" xfId="69" applyNumberFormat="1" applyFont="1" applyFill="1" applyBorder="1" applyAlignment="1">
      <alignment wrapText="1"/>
    </xf>
    <xf numFmtId="4" fontId="90" fillId="0" borderId="8" xfId="63" applyNumberFormat="1" applyFont="1" applyFill="1" applyBorder="1" applyAlignment="1" applyProtection="1"/>
    <xf numFmtId="4" fontId="90" fillId="0" borderId="7" xfId="63" applyNumberFormat="1" applyFont="1" applyFill="1" applyBorder="1" applyAlignment="1" applyProtection="1"/>
    <xf numFmtId="3" fontId="90" fillId="0" borderId="7" xfId="67" applyNumberFormat="1" applyFont="1" applyFill="1" applyBorder="1" applyAlignment="1" applyProtection="1"/>
    <xf numFmtId="1" fontId="108" fillId="0" borderId="20" xfId="67" applyNumberFormat="1" applyFont="1" applyBorder="1" applyAlignment="1">
      <alignment wrapText="1"/>
    </xf>
    <xf numFmtId="4" fontId="108" fillId="0" borderId="0" xfId="69" applyNumberFormat="1" applyFont="1" applyBorder="1" applyAlignment="1"/>
    <xf numFmtId="4" fontId="27" fillId="0" borderId="0" xfId="69" applyNumberFormat="1" applyFont="1" applyAlignment="1"/>
    <xf numFmtId="4" fontId="25" fillId="0" borderId="0" xfId="67" applyNumberFormat="1" applyFont="1" applyFill="1" applyBorder="1" applyAlignment="1" applyProtection="1"/>
    <xf numFmtId="0" fontId="25" fillId="0" borderId="0" xfId="67" applyNumberFormat="1" applyFont="1" applyFill="1" applyBorder="1" applyAlignment="1" applyProtection="1">
      <alignment vertical="center" wrapText="1"/>
    </xf>
    <xf numFmtId="3" fontId="25" fillId="0" borderId="0" xfId="67" applyNumberFormat="1" applyFont="1" applyFill="1" applyBorder="1" applyAlignment="1" applyProtection="1">
      <alignment wrapText="1"/>
    </xf>
    <xf numFmtId="3" fontId="25" fillId="0" borderId="0" xfId="69" applyNumberFormat="1" applyFont="1" applyFill="1" applyBorder="1" applyAlignment="1" applyProtection="1">
      <alignment wrapText="1"/>
    </xf>
    <xf numFmtId="3" fontId="25" fillId="0" borderId="0" xfId="69" applyNumberFormat="1" applyFont="1" applyFill="1" applyBorder="1" applyAlignment="1" applyProtection="1"/>
    <xf numFmtId="4" fontId="25" fillId="0" borderId="0" xfId="69" applyNumberFormat="1" applyFont="1" applyFill="1" applyBorder="1" applyAlignment="1" applyProtection="1">
      <alignment wrapText="1"/>
    </xf>
    <xf numFmtId="4" fontId="25" fillId="0" borderId="0" xfId="69" applyNumberFormat="1" applyFont="1" applyFill="1" applyBorder="1" applyAlignment="1" applyProtection="1"/>
    <xf numFmtId="3" fontId="25" fillId="0" borderId="0" xfId="63" applyNumberFormat="1" applyFont="1" applyFill="1" applyBorder="1" applyAlignment="1" applyProtection="1"/>
    <xf numFmtId="3" fontId="90" fillId="0" borderId="0" xfId="67" applyNumberFormat="1" applyFont="1" applyFill="1" applyBorder="1" applyAlignment="1" applyProtection="1"/>
    <xf numFmtId="3" fontId="110" fillId="0" borderId="0" xfId="67" applyNumberFormat="1" applyFont="1" applyFill="1" applyBorder="1" applyAlignment="1" applyProtection="1"/>
    <xf numFmtId="3" fontId="90" fillId="0" borderId="60" xfId="67" applyNumberFormat="1" applyFont="1" applyFill="1" applyBorder="1" applyAlignment="1" applyProtection="1"/>
    <xf numFmtId="4" fontId="25" fillId="0" borderId="83" xfId="67" applyNumberFormat="1" applyFont="1" applyFill="1" applyBorder="1" applyAlignment="1" applyProtection="1"/>
    <xf numFmtId="4" fontId="25" fillId="0" borderId="68" xfId="67" applyNumberFormat="1" applyFont="1" applyFill="1" applyBorder="1" applyAlignment="1" applyProtection="1"/>
    <xf numFmtId="3" fontId="109" fillId="0" borderId="0" xfId="67" applyNumberFormat="1" applyFont="1" applyFill="1" applyBorder="1" applyAlignment="1" applyProtection="1"/>
    <xf numFmtId="3" fontId="90" fillId="0" borderId="41" xfId="67" applyNumberFormat="1" applyFont="1" applyFill="1" applyBorder="1" applyAlignment="1" applyProtection="1"/>
    <xf numFmtId="4" fontId="25" fillId="0" borderId="42" xfId="67" applyNumberFormat="1" applyFont="1" applyFill="1" applyBorder="1" applyAlignment="1" applyProtection="1"/>
    <xf numFmtId="4" fontId="25" fillId="0" borderId="64" xfId="67" applyNumberFormat="1" applyFont="1" applyFill="1" applyBorder="1" applyAlignment="1" applyProtection="1"/>
    <xf numFmtId="4" fontId="90" fillId="0" borderId="0" xfId="63" applyNumberFormat="1" applyFont="1" applyFill="1" applyBorder="1" applyAlignment="1" applyProtection="1"/>
    <xf numFmtId="3" fontId="90" fillId="0" borderId="46" xfId="67" applyNumberFormat="1" applyFont="1" applyFill="1" applyBorder="1" applyAlignment="1" applyProtection="1"/>
    <xf numFmtId="4" fontId="25" fillId="0" borderId="63" xfId="67" applyNumberFormat="1" applyFont="1" applyFill="1" applyBorder="1" applyAlignment="1" applyProtection="1"/>
    <xf numFmtId="4" fontId="25" fillId="0" borderId="66" xfId="67" applyNumberFormat="1" applyFont="1" applyFill="1" applyBorder="1" applyAlignment="1" applyProtection="1"/>
    <xf numFmtId="3" fontId="25" fillId="0" borderId="0" xfId="67" applyNumberFormat="1" applyFont="1" applyFill="1" applyBorder="1" applyAlignment="1" applyProtection="1">
      <alignment vertical="center"/>
    </xf>
    <xf numFmtId="3" fontId="25" fillId="0" borderId="0" xfId="67" applyNumberFormat="1" applyFont="1" applyFill="1" applyBorder="1" applyAlignment="1" applyProtection="1">
      <alignment horizontal="center" vertical="center"/>
    </xf>
    <xf numFmtId="0" fontId="25" fillId="0" borderId="0" xfId="67" applyNumberFormat="1" applyFont="1" applyFill="1" applyBorder="1" applyAlignment="1" applyProtection="1">
      <alignment horizontal="center" vertical="center"/>
    </xf>
    <xf numFmtId="4" fontId="25" fillId="0" borderId="0" xfId="67" applyNumberFormat="1" applyFont="1" applyFill="1" applyBorder="1" applyAlignment="1" applyProtection="1">
      <alignment vertical="center"/>
    </xf>
    <xf numFmtId="3" fontId="27" fillId="0" borderId="0" xfId="69" applyNumberFormat="1" applyFont="1" applyFill="1" applyBorder="1" applyAlignment="1">
      <alignment wrapText="1"/>
    </xf>
    <xf numFmtId="3" fontId="27" fillId="0" borderId="0" xfId="69" applyNumberFormat="1" applyFont="1" applyFill="1" applyBorder="1" applyAlignment="1"/>
    <xf numFmtId="0" fontId="90" fillId="0" borderId="7" xfId="67" applyNumberFormat="1" applyFont="1" applyFill="1" applyBorder="1" applyAlignment="1" applyProtection="1"/>
    <xf numFmtId="0" fontId="87" fillId="0" borderId="7" xfId="39" applyFont="1" applyBorder="1" applyAlignment="1">
      <alignment horizontal="left" indent="1"/>
    </xf>
    <xf numFmtId="0" fontId="65" fillId="0" borderId="0" xfId="67" applyNumberFormat="1" applyFont="1" applyFill="1" applyBorder="1" applyAlignment="1" applyProtection="1">
      <alignment vertical="center"/>
    </xf>
    <xf numFmtId="1" fontId="27" fillId="0" borderId="0" xfId="67" applyNumberFormat="1" applyFont="1" applyFill="1" applyBorder="1" applyAlignment="1">
      <alignment horizontal="left" wrapText="1"/>
    </xf>
    <xf numFmtId="0" fontId="90" fillId="0" borderId="0" xfId="67" applyNumberFormat="1" applyFont="1" applyFill="1" applyBorder="1" applyAlignment="1" applyProtection="1">
      <alignment vertical="center"/>
    </xf>
    <xf numFmtId="0" fontId="111" fillId="0" borderId="0" xfId="50" applyFont="1" applyAlignment="1"/>
    <xf numFmtId="0" fontId="113" fillId="0" borderId="5" xfId="50" applyFont="1" applyBorder="1" applyAlignment="1">
      <alignment vertical="center"/>
    </xf>
    <xf numFmtId="0" fontId="29" fillId="0" borderId="5" xfId="50" applyBorder="1"/>
    <xf numFmtId="0" fontId="111" fillId="0" borderId="0" xfId="50" applyFont="1" applyAlignment="1">
      <alignment horizontal="center" vertical="center"/>
    </xf>
    <xf numFmtId="0" fontId="78" fillId="0" borderId="0" xfId="50" applyFont="1" applyBorder="1" applyAlignment="1">
      <alignment horizontal="center" vertical="center" wrapText="1"/>
    </xf>
    <xf numFmtId="0" fontId="77" fillId="0" borderId="42" xfId="50" applyFont="1" applyBorder="1" applyAlignment="1">
      <alignment horizontal="center" vertical="center" wrapText="1"/>
    </xf>
    <xf numFmtId="0" fontId="78" fillId="0" borderId="42" xfId="50" applyFont="1" applyBorder="1" applyAlignment="1">
      <alignment horizontal="center" wrapText="1"/>
    </xf>
    <xf numFmtId="0" fontId="78" fillId="0" borderId="42" xfId="50" applyFont="1" applyBorder="1" applyAlignment="1">
      <alignment wrapText="1"/>
    </xf>
    <xf numFmtId="2" fontId="29" fillId="0" borderId="0" xfId="50" applyNumberFormat="1"/>
    <xf numFmtId="0" fontId="77" fillId="0" borderId="42" xfId="50" applyFont="1" applyBorder="1" applyAlignment="1">
      <alignment wrapText="1"/>
    </xf>
    <xf numFmtId="0" fontId="77" fillId="0" borderId="42" xfId="50" applyFont="1" applyBorder="1" applyAlignment="1">
      <alignment horizontal="left" wrapText="1"/>
    </xf>
    <xf numFmtId="0" fontId="113" fillId="0" borderId="0" xfId="50" applyFont="1" applyAlignment="1">
      <alignment vertical="center"/>
    </xf>
    <xf numFmtId="0" fontId="80" fillId="0" borderId="0" xfId="50" applyFont="1" applyAlignment="1">
      <alignment horizontal="left" vertical="center" indent="1"/>
    </xf>
    <xf numFmtId="0" fontId="88" fillId="0" borderId="0" xfId="50" applyFont="1"/>
    <xf numFmtId="0" fontId="80" fillId="0" borderId="0" xfId="50" applyFont="1" applyAlignment="1"/>
    <xf numFmtId="0" fontId="96" fillId="0" borderId="20" xfId="67" applyNumberFormat="1" applyFont="1" applyFill="1" applyBorder="1" applyAlignment="1" applyProtection="1">
      <alignment horizontal="center" vertical="center" wrapText="1"/>
    </xf>
    <xf numFmtId="0" fontId="96" fillId="0" borderId="8" xfId="67" applyNumberFormat="1" applyFont="1" applyFill="1" applyBorder="1" applyAlignment="1" applyProtection="1">
      <alignment horizontal="center" vertical="center" wrapText="1"/>
    </xf>
    <xf numFmtId="0" fontId="96" fillId="0" borderId="10" xfId="67" applyNumberFormat="1" applyFont="1" applyFill="1" applyBorder="1" applyAlignment="1" applyProtection="1">
      <alignment horizontal="center" vertical="center" wrapText="1"/>
    </xf>
    <xf numFmtId="0" fontId="65" fillId="0" borderId="20" xfId="67" applyFont="1" applyFill="1" applyBorder="1" applyAlignment="1">
      <alignment horizontal="center" vertical="center"/>
    </xf>
    <xf numFmtId="0" fontId="108" fillId="0" borderId="8" xfId="67" applyFont="1" applyFill="1" applyBorder="1" applyAlignment="1">
      <alignment horizontal="center" vertical="center"/>
    </xf>
    <xf numFmtId="0" fontId="108" fillId="0" borderId="10" xfId="67" applyFont="1" applyFill="1" applyBorder="1" applyAlignment="1">
      <alignment horizontal="center" vertical="center"/>
    </xf>
    <xf numFmtId="3" fontId="108" fillId="0" borderId="20" xfId="69" applyNumberFormat="1" applyFont="1" applyBorder="1" applyAlignment="1">
      <alignment horizontal="center"/>
    </xf>
    <xf numFmtId="3" fontId="108" fillId="0" borderId="8" xfId="69" applyNumberFormat="1" applyFont="1" applyBorder="1" applyAlignment="1">
      <alignment horizontal="center"/>
    </xf>
    <xf numFmtId="3" fontId="108" fillId="0" borderId="10" xfId="69" applyNumberFormat="1" applyFont="1" applyBorder="1" applyAlignment="1">
      <alignment horizontal="center"/>
    </xf>
    <xf numFmtId="0" fontId="38" fillId="20" borderId="20" xfId="41" applyFont="1" applyFill="1" applyBorder="1" applyAlignment="1">
      <alignment horizontal="center"/>
    </xf>
    <xf numFmtId="0" fontId="38" fillId="20" borderId="10" xfId="41" applyFont="1" applyFill="1" applyBorder="1" applyAlignment="1">
      <alignment horizontal="center"/>
    </xf>
    <xf numFmtId="0" fontId="39" fillId="24" borderId="67" xfId="0" applyFont="1" applyFill="1" applyBorder="1" applyAlignment="1">
      <alignment horizontal="center" wrapText="1"/>
    </xf>
    <xf numFmtId="0" fontId="39" fillId="24" borderId="68" xfId="0" applyFont="1" applyFill="1" applyBorder="1" applyAlignment="1">
      <alignment horizontal="center" wrapText="1"/>
    </xf>
    <xf numFmtId="0" fontId="39" fillId="24" borderId="69" xfId="0" applyFont="1" applyFill="1" applyBorder="1" applyAlignment="1">
      <alignment horizontal="center" wrapText="1"/>
    </xf>
    <xf numFmtId="0" fontId="39" fillId="24" borderId="70" xfId="0" applyFont="1" applyFill="1" applyBorder="1" applyAlignment="1">
      <alignment horizontal="center" wrapText="1"/>
    </xf>
    <xf numFmtId="0" fontId="39" fillId="24" borderId="47" xfId="0" applyFont="1" applyFill="1" applyBorder="1" applyAlignment="1">
      <alignment horizontal="center" wrapText="1"/>
    </xf>
    <xf numFmtId="0" fontId="39" fillId="24" borderId="66" xfId="0" applyFont="1" applyFill="1" applyBorder="1" applyAlignment="1">
      <alignment horizontal="center" wrapText="1"/>
    </xf>
    <xf numFmtId="0" fontId="39" fillId="24" borderId="37" xfId="0" applyFont="1" applyFill="1" applyBorder="1" applyAlignment="1">
      <alignment horizontal="center" wrapText="1"/>
    </xf>
    <xf numFmtId="0" fontId="39" fillId="24" borderId="22" xfId="0" applyFont="1" applyFill="1" applyBorder="1" applyAlignment="1">
      <alignment horizontal="center" wrapText="1"/>
    </xf>
    <xf numFmtId="0" fontId="39" fillId="24" borderId="24" xfId="0" applyFont="1" applyFill="1" applyBorder="1" applyAlignment="1">
      <alignment horizontal="center" wrapText="1"/>
    </xf>
    <xf numFmtId="3" fontId="6" fillId="0" borderId="13" xfId="0" applyNumberFormat="1" applyFont="1" applyBorder="1" applyAlignment="1">
      <alignment horizontal="center"/>
    </xf>
    <xf numFmtId="3" fontId="6" fillId="0" borderId="71" xfId="0" applyNumberFormat="1" applyFont="1" applyBorder="1" applyAlignment="1">
      <alignment horizontal="center"/>
    </xf>
    <xf numFmtId="3" fontId="6" fillId="0" borderId="12" xfId="0" applyNumberFormat="1" applyFont="1" applyBorder="1" applyAlignment="1">
      <alignment horizontal="center" vertical="center"/>
    </xf>
    <xf numFmtId="3" fontId="10" fillId="0" borderId="20" xfId="0" applyNumberFormat="1" applyFont="1" applyBorder="1" applyAlignment="1">
      <alignment horizontal="center" vertical="center"/>
    </xf>
    <xf numFmtId="3" fontId="10" fillId="0" borderId="10" xfId="0" applyNumberFormat="1" applyFont="1" applyBorder="1" applyAlignment="1">
      <alignment horizontal="center" vertical="center"/>
    </xf>
    <xf numFmtId="3" fontId="10" fillId="0" borderId="8" xfId="0" applyNumberFormat="1" applyFont="1" applyBorder="1" applyAlignment="1">
      <alignment horizontal="center" vertical="center"/>
    </xf>
    <xf numFmtId="3" fontId="10" fillId="0" borderId="8" xfId="0" applyNumberFormat="1" applyFont="1" applyBorder="1"/>
    <xf numFmtId="0" fontId="61" fillId="0" borderId="20" xfId="0" applyFont="1" applyBorder="1" applyAlignment="1">
      <alignment horizontal="center"/>
    </xf>
    <xf numFmtId="0" fontId="61" fillId="0" borderId="8" xfId="0" applyFont="1" applyBorder="1" applyAlignment="1">
      <alignment horizontal="center"/>
    </xf>
    <xf numFmtId="0" fontId="61" fillId="0" borderId="10" xfId="0" applyFont="1" applyBorder="1" applyAlignment="1">
      <alignment horizontal="center"/>
    </xf>
    <xf numFmtId="0" fontId="8" fillId="22" borderId="9" xfId="0" applyFont="1" applyFill="1" applyBorder="1" applyAlignment="1">
      <alignment horizontal="center" wrapText="1"/>
    </xf>
    <xf numFmtId="0" fontId="8" fillId="22" borderId="76" xfId="0" applyFont="1" applyFill="1" applyBorder="1" applyAlignment="1">
      <alignment horizontal="center" wrapText="1"/>
    </xf>
    <xf numFmtId="0" fontId="8" fillId="22" borderId="73" xfId="0" applyFont="1" applyFill="1" applyBorder="1" applyAlignment="1">
      <alignment horizontal="center" wrapText="1"/>
    </xf>
    <xf numFmtId="0" fontId="33" fillId="25" borderId="9" xfId="0" applyFont="1" applyFill="1" applyBorder="1" applyAlignment="1">
      <alignment horizontal="center"/>
    </xf>
    <xf numFmtId="0" fontId="33" fillId="25" borderId="76" xfId="0" applyFont="1" applyFill="1" applyBorder="1" applyAlignment="1">
      <alignment horizontal="center"/>
    </xf>
    <xf numFmtId="0" fontId="33" fillId="25" borderId="73" xfId="0" applyFont="1" applyFill="1" applyBorder="1" applyAlignment="1">
      <alignment horizontal="center"/>
    </xf>
    <xf numFmtId="0" fontId="33" fillId="26" borderId="9" xfId="0" applyFont="1" applyFill="1" applyBorder="1" applyAlignment="1">
      <alignment horizontal="center"/>
    </xf>
    <xf numFmtId="0" fontId="33" fillId="26" borderId="76" xfId="0" applyFont="1" applyFill="1" applyBorder="1" applyAlignment="1">
      <alignment horizontal="center"/>
    </xf>
    <xf numFmtId="0" fontId="33" fillId="26" borderId="73" xfId="0" applyFont="1" applyFill="1" applyBorder="1" applyAlignment="1">
      <alignment horizontal="center"/>
    </xf>
    <xf numFmtId="0" fontId="8" fillId="27" borderId="9" xfId="0" applyFont="1" applyFill="1" applyBorder="1" applyAlignment="1">
      <alignment horizontal="center"/>
    </xf>
    <xf numFmtId="0" fontId="8" fillId="27" borderId="76" xfId="0" applyFont="1" applyFill="1" applyBorder="1" applyAlignment="1">
      <alignment horizontal="center"/>
    </xf>
    <xf numFmtId="0" fontId="8" fillId="27" borderId="73" xfId="0" applyFont="1" applyFill="1" applyBorder="1" applyAlignment="1">
      <alignment horizontal="center"/>
    </xf>
    <xf numFmtId="0" fontId="61" fillId="0" borderId="20" xfId="0" applyFont="1" applyBorder="1" applyAlignment="1">
      <alignment horizontal="center" wrapText="1"/>
    </xf>
    <xf numFmtId="0" fontId="61" fillId="0" borderId="8" xfId="0" applyFont="1" applyBorder="1" applyAlignment="1">
      <alignment horizontal="center" wrapText="1"/>
    </xf>
    <xf numFmtId="0" fontId="61" fillId="0" borderId="10" xfId="0" applyFont="1" applyBorder="1" applyAlignment="1">
      <alignment horizontal="center" wrapText="1"/>
    </xf>
    <xf numFmtId="0" fontId="8" fillId="29" borderId="34" xfId="0" applyFont="1" applyFill="1" applyBorder="1" applyAlignment="1">
      <alignment horizontal="center" wrapText="1"/>
    </xf>
    <xf numFmtId="0" fontId="8" fillId="29" borderId="35" xfId="0" applyFont="1" applyFill="1" applyBorder="1" applyAlignment="1">
      <alignment horizontal="center" wrapText="1"/>
    </xf>
    <xf numFmtId="0" fontId="8" fillId="29" borderId="77" xfId="0" applyFont="1" applyFill="1" applyBorder="1" applyAlignment="1">
      <alignment horizontal="center" wrapText="1"/>
    </xf>
    <xf numFmtId="0" fontId="65" fillId="0" borderId="60" xfId="43" applyFont="1" applyBorder="1" applyAlignment="1">
      <alignment horizontal="center"/>
    </xf>
    <xf numFmtId="0" fontId="65" fillId="0" borderId="68" xfId="43" applyFont="1" applyBorder="1" applyAlignment="1">
      <alignment horizontal="center"/>
    </xf>
    <xf numFmtId="0" fontId="65" fillId="0" borderId="67" xfId="43" applyFont="1" applyBorder="1" applyAlignment="1">
      <alignment horizontal="center"/>
    </xf>
    <xf numFmtId="0" fontId="65" fillId="0" borderId="61" xfId="43" applyFont="1" applyBorder="1" applyAlignment="1">
      <alignment horizontal="center"/>
    </xf>
    <xf numFmtId="0" fontId="65" fillId="0" borderId="20" xfId="43" applyFont="1" applyBorder="1" applyAlignment="1">
      <alignment horizontal="center"/>
    </xf>
    <xf numFmtId="0" fontId="65" fillId="0" borderId="10" xfId="43" applyFont="1" applyBorder="1" applyAlignment="1">
      <alignment horizontal="center"/>
    </xf>
    <xf numFmtId="0" fontId="63" fillId="0" borderId="81" xfId="43" applyFont="1" applyBorder="1" applyAlignment="1">
      <alignment horizontal="center"/>
    </xf>
    <xf numFmtId="0" fontId="63" fillId="0" borderId="58" xfId="43" applyFont="1" applyBorder="1" applyAlignment="1">
      <alignment horizontal="center"/>
    </xf>
    <xf numFmtId="0" fontId="65" fillId="0" borderId="23" xfId="43" applyFont="1" applyBorder="1" applyAlignment="1">
      <alignment horizontal="center" wrapText="1"/>
    </xf>
    <xf numFmtId="0" fontId="65" fillId="0" borderId="17" xfId="43" applyFont="1" applyBorder="1" applyAlignment="1">
      <alignment horizontal="center" wrapText="1"/>
    </xf>
    <xf numFmtId="0" fontId="63" fillId="0" borderId="23" xfId="43" applyFont="1" applyBorder="1" applyAlignment="1">
      <alignment horizontal="center" wrapText="1"/>
    </xf>
    <xf numFmtId="0" fontId="63" fillId="0" borderId="17" xfId="43" applyFont="1" applyBorder="1" applyAlignment="1">
      <alignment horizontal="center" wrapText="1"/>
    </xf>
    <xf numFmtId="0" fontId="65" fillId="0" borderId="60" xfId="43" applyFont="1" applyBorder="1" applyAlignment="1">
      <alignment horizontal="center" wrapText="1"/>
    </xf>
    <xf numFmtId="0" fontId="65" fillId="0" borderId="68" xfId="43" applyFont="1" applyBorder="1" applyAlignment="1">
      <alignment horizontal="center" wrapText="1"/>
    </xf>
    <xf numFmtId="0" fontId="90" fillId="0" borderId="20" xfId="67" applyNumberFormat="1" applyFont="1" applyFill="1" applyBorder="1" applyAlignment="1" applyProtection="1">
      <alignment horizontal="center" vertical="center" wrapText="1"/>
    </xf>
    <xf numFmtId="0" fontId="90" fillId="0" borderId="8" xfId="67" applyNumberFormat="1" applyFont="1" applyFill="1" applyBorder="1" applyAlignment="1" applyProtection="1">
      <alignment horizontal="center" vertical="center" wrapText="1"/>
    </xf>
    <xf numFmtId="0" fontId="90" fillId="0" borderId="10" xfId="67" applyNumberFormat="1" applyFont="1" applyFill="1" applyBorder="1" applyAlignment="1" applyProtection="1">
      <alignment horizontal="center" vertical="center" wrapText="1"/>
    </xf>
    <xf numFmtId="0" fontId="91" fillId="0" borderId="20" xfId="39" applyFont="1" applyBorder="1" applyAlignment="1">
      <alignment horizontal="center" wrapText="1"/>
    </xf>
    <xf numFmtId="0" fontId="91" fillId="0" borderId="8" xfId="39" applyFont="1" applyBorder="1" applyAlignment="1">
      <alignment horizontal="center" wrapText="1"/>
    </xf>
    <xf numFmtId="0" fontId="91" fillId="0" borderId="10" xfId="39" applyFont="1" applyBorder="1" applyAlignment="1">
      <alignment horizontal="center" wrapText="1"/>
    </xf>
    <xf numFmtId="0" fontId="76" fillId="0" borderId="20" xfId="64" applyFont="1" applyBorder="1" applyAlignment="1">
      <alignment horizontal="center"/>
    </xf>
    <xf numFmtId="0" fontId="76" fillId="0" borderId="8" xfId="64" applyFont="1" applyBorder="1" applyAlignment="1">
      <alignment horizontal="center"/>
    </xf>
    <xf numFmtId="0" fontId="76" fillId="0" borderId="10" xfId="64" applyFont="1" applyBorder="1" applyAlignment="1">
      <alignment horizontal="center"/>
    </xf>
    <xf numFmtId="0" fontId="1" fillId="0" borderId="37" xfId="64" applyBorder="1" applyAlignment="1">
      <alignment horizontal="center" vertical="center"/>
    </xf>
    <xf numFmtId="0" fontId="1" fillId="0" borderId="22" xfId="64" applyBorder="1" applyAlignment="1">
      <alignment horizontal="center" vertical="center"/>
    </xf>
    <xf numFmtId="0" fontId="61" fillId="22" borderId="39" xfId="64" applyFont="1" applyFill="1" applyBorder="1" applyAlignment="1">
      <alignment horizontal="center" vertical="center"/>
    </xf>
    <xf numFmtId="0" fontId="61" fillId="22" borderId="21" xfId="64" applyFont="1" applyFill="1" applyBorder="1" applyAlignment="1">
      <alignment horizontal="center" vertical="center"/>
    </xf>
    <xf numFmtId="0" fontId="61" fillId="33" borderId="39" xfId="64" applyFont="1" applyFill="1" applyBorder="1" applyAlignment="1">
      <alignment horizontal="center" vertical="center"/>
    </xf>
    <xf numFmtId="0" fontId="61" fillId="33" borderId="21" xfId="64" applyFont="1" applyFill="1" applyBorder="1" applyAlignment="1">
      <alignment horizontal="center" vertical="center"/>
    </xf>
    <xf numFmtId="0" fontId="1" fillId="22" borderId="60" xfId="64" applyFill="1" applyBorder="1" applyAlignment="1">
      <alignment horizontal="center" wrapText="1"/>
    </xf>
    <xf numFmtId="0" fontId="1" fillId="22" borderId="53" xfId="64" applyFill="1" applyBorder="1" applyAlignment="1">
      <alignment horizontal="center" wrapText="1"/>
    </xf>
    <xf numFmtId="0" fontId="1" fillId="33" borderId="68" xfId="64" applyFill="1" applyBorder="1" applyAlignment="1">
      <alignment horizontal="center" wrapText="1"/>
    </xf>
    <xf numFmtId="0" fontId="1" fillId="33" borderId="72" xfId="64" applyFill="1" applyBorder="1" applyAlignment="1">
      <alignment horizontal="center" wrapText="1"/>
    </xf>
    <xf numFmtId="0" fontId="1" fillId="0" borderId="24" xfId="64" applyBorder="1" applyAlignment="1">
      <alignment horizontal="center" vertical="center"/>
    </xf>
    <xf numFmtId="0" fontId="61" fillId="34" borderId="20" xfId="64" applyFont="1" applyFill="1" applyBorder="1" applyAlignment="1">
      <alignment horizontal="center" vertical="center"/>
    </xf>
    <xf numFmtId="0" fontId="61" fillId="34" borderId="10" xfId="64" applyFont="1" applyFill="1" applyBorder="1" applyAlignment="1">
      <alignment horizontal="center" vertical="center"/>
    </xf>
    <xf numFmtId="0" fontId="61" fillId="35" borderId="20" xfId="64" applyFont="1" applyFill="1" applyBorder="1" applyAlignment="1">
      <alignment horizontal="center" vertical="center"/>
    </xf>
    <xf numFmtId="0" fontId="61" fillId="35" borderId="10" xfId="64" applyFont="1" applyFill="1" applyBorder="1" applyAlignment="1">
      <alignment horizontal="center" vertical="center"/>
    </xf>
    <xf numFmtId="0" fontId="1" fillId="34" borderId="60" xfId="64" applyFill="1" applyBorder="1" applyAlignment="1">
      <alignment horizontal="center" wrapText="1"/>
    </xf>
    <xf numFmtId="0" fontId="1" fillId="34" borderId="46" xfId="64" applyFill="1" applyBorder="1" applyAlignment="1">
      <alignment horizontal="center" wrapText="1"/>
    </xf>
    <xf numFmtId="0" fontId="1" fillId="35" borderId="68" xfId="64" applyFill="1" applyBorder="1" applyAlignment="1">
      <alignment horizontal="center" wrapText="1"/>
    </xf>
    <xf numFmtId="0" fontId="1" fillId="35" borderId="66" xfId="64" applyFill="1" applyBorder="1" applyAlignment="1">
      <alignment horizontal="center" wrapText="1"/>
    </xf>
    <xf numFmtId="0" fontId="61" fillId="37" borderId="39" xfId="64" applyFont="1" applyFill="1" applyBorder="1" applyAlignment="1">
      <alignment horizontal="center" vertical="center"/>
    </xf>
    <xf numFmtId="0" fontId="61" fillId="37" borderId="21" xfId="64" applyFont="1" applyFill="1" applyBorder="1" applyAlignment="1">
      <alignment horizontal="center" vertical="center"/>
    </xf>
    <xf numFmtId="0" fontId="61" fillId="26" borderId="39" xfId="64" applyFont="1" applyFill="1" applyBorder="1" applyAlignment="1">
      <alignment horizontal="center" vertical="center"/>
    </xf>
    <xf numFmtId="0" fontId="61" fillId="26" borderId="21" xfId="64" applyFont="1" applyFill="1" applyBorder="1" applyAlignment="1">
      <alignment horizontal="center" vertical="center"/>
    </xf>
    <xf numFmtId="0" fontId="1" fillId="37" borderId="60" xfId="64" applyFill="1" applyBorder="1" applyAlignment="1">
      <alignment horizontal="center" wrapText="1"/>
    </xf>
    <xf numFmtId="0" fontId="1" fillId="37" borderId="46" xfId="64" applyFill="1" applyBorder="1" applyAlignment="1">
      <alignment horizontal="center" wrapText="1"/>
    </xf>
    <xf numFmtId="0" fontId="1" fillId="26" borderId="68" xfId="64" applyFill="1" applyBorder="1" applyAlignment="1">
      <alignment horizontal="center" wrapText="1"/>
    </xf>
    <xf numFmtId="0" fontId="1" fillId="26" borderId="66" xfId="64" applyFill="1" applyBorder="1" applyAlignment="1">
      <alignment horizontal="center" wrapText="1"/>
    </xf>
    <xf numFmtId="0" fontId="61" fillId="36" borderId="39" xfId="64" applyFont="1" applyFill="1" applyBorder="1" applyAlignment="1">
      <alignment horizontal="center" vertical="center"/>
    </xf>
    <xf numFmtId="0" fontId="61" fillId="36" borderId="21" xfId="64" applyFont="1" applyFill="1" applyBorder="1" applyAlignment="1">
      <alignment horizontal="center" vertical="center"/>
    </xf>
    <xf numFmtId="0" fontId="61" fillId="32" borderId="39" xfId="64" applyFont="1" applyFill="1" applyBorder="1" applyAlignment="1">
      <alignment horizontal="center" vertical="center"/>
    </xf>
    <xf numFmtId="0" fontId="61" fillId="32" borderId="21" xfId="64" applyFont="1" applyFill="1" applyBorder="1" applyAlignment="1">
      <alignment horizontal="center" vertical="center"/>
    </xf>
    <xf numFmtId="0" fontId="1" fillId="36" borderId="60" xfId="64" applyFill="1" applyBorder="1" applyAlignment="1">
      <alignment horizontal="center" wrapText="1"/>
    </xf>
    <xf numFmtId="0" fontId="1" fillId="36" borderId="53" xfId="64" applyFill="1" applyBorder="1" applyAlignment="1">
      <alignment horizontal="center" wrapText="1"/>
    </xf>
    <xf numFmtId="0" fontId="1" fillId="32" borderId="68" xfId="64" applyFill="1" applyBorder="1" applyAlignment="1">
      <alignment horizontal="center" wrapText="1"/>
    </xf>
    <xf numFmtId="0" fontId="1" fillId="32" borderId="72" xfId="64" applyFill="1" applyBorder="1" applyAlignment="1">
      <alignment horizontal="center" wrapText="1"/>
    </xf>
    <xf numFmtId="0" fontId="76" fillId="0" borderId="20" xfId="66" applyFont="1" applyBorder="1" applyAlignment="1">
      <alignment horizontal="center"/>
    </xf>
    <xf numFmtId="0" fontId="76" fillId="0" borderId="8" xfId="66" applyFont="1" applyBorder="1" applyAlignment="1">
      <alignment horizontal="center"/>
    </xf>
    <xf numFmtId="0" fontId="76" fillId="0" borderId="10" xfId="66" applyFont="1" applyBorder="1" applyAlignment="1">
      <alignment horizontal="center"/>
    </xf>
    <xf numFmtId="0" fontId="61" fillId="0" borderId="20" xfId="66" applyFont="1" applyBorder="1" applyAlignment="1">
      <alignment horizontal="center" vertical="center"/>
    </xf>
    <xf numFmtId="0" fontId="61" fillId="0" borderId="10" xfId="66" applyFont="1" applyBorder="1" applyAlignment="1">
      <alignment horizontal="center" vertical="center"/>
    </xf>
    <xf numFmtId="0" fontId="61" fillId="26" borderId="20" xfId="66" applyFont="1" applyFill="1" applyBorder="1" applyAlignment="1">
      <alignment horizontal="center" vertical="center"/>
    </xf>
    <xf numFmtId="0" fontId="61" fillId="26" borderId="10" xfId="66" applyFont="1" applyFill="1" applyBorder="1" applyAlignment="1">
      <alignment horizontal="center" vertical="center"/>
    </xf>
    <xf numFmtId="0" fontId="61" fillId="38" borderId="20" xfId="66" applyFont="1" applyFill="1" applyBorder="1" applyAlignment="1">
      <alignment horizontal="center" vertical="center"/>
    </xf>
    <xf numFmtId="0" fontId="61" fillId="38" borderId="10" xfId="66" applyFont="1" applyFill="1" applyBorder="1" applyAlignment="1">
      <alignment horizontal="center" vertical="center"/>
    </xf>
    <xf numFmtId="0" fontId="61" fillId="39" borderId="20" xfId="66" applyFont="1" applyFill="1" applyBorder="1" applyAlignment="1">
      <alignment horizontal="center" vertical="center" wrapText="1"/>
    </xf>
    <xf numFmtId="0" fontId="61" fillId="39" borderId="10" xfId="66" applyFont="1" applyFill="1" applyBorder="1" applyAlignment="1">
      <alignment horizontal="center" vertical="center" wrapText="1"/>
    </xf>
    <xf numFmtId="0" fontId="61" fillId="40" borderId="20" xfId="66" applyFont="1" applyFill="1" applyBorder="1" applyAlignment="1">
      <alignment horizontal="center" vertical="center" wrapText="1"/>
    </xf>
    <xf numFmtId="0" fontId="61" fillId="40" borderId="10" xfId="66" applyFont="1" applyFill="1" applyBorder="1" applyAlignment="1">
      <alignment horizontal="center" vertical="center" wrapText="1"/>
    </xf>
    <xf numFmtId="0" fontId="0" fillId="0" borderId="13" xfId="0" applyBorder="1" applyAlignment="1">
      <alignment horizontal="left"/>
    </xf>
    <xf numFmtId="0" fontId="0" fillId="0" borderId="75" xfId="0" applyBorder="1" applyAlignment="1">
      <alignment horizontal="left"/>
    </xf>
    <xf numFmtId="0" fontId="73" fillId="0" borderId="49" xfId="0" applyFont="1" applyBorder="1" applyAlignment="1">
      <alignment horizontal="left"/>
    </xf>
    <xf numFmtId="0" fontId="73" fillId="0" borderId="50" xfId="0" applyFont="1" applyBorder="1" applyAlignment="1">
      <alignment horizontal="left"/>
    </xf>
    <xf numFmtId="0" fontId="72" fillId="32" borderId="20" xfId="0" applyFont="1" applyFill="1" applyBorder="1" applyAlignment="1">
      <alignment horizontal="left" wrapText="1"/>
    </xf>
    <xf numFmtId="0" fontId="72" fillId="32" borderId="8" xfId="0" applyFont="1" applyFill="1" applyBorder="1" applyAlignment="1">
      <alignment horizontal="left" wrapText="1"/>
    </xf>
    <xf numFmtId="0" fontId="72" fillId="32" borderId="10" xfId="0" applyFont="1" applyFill="1" applyBorder="1" applyAlignment="1">
      <alignment horizontal="left" wrapText="1"/>
    </xf>
    <xf numFmtId="0" fontId="73" fillId="0" borderId="13" xfId="0" applyFont="1" applyBorder="1" applyAlignment="1">
      <alignment horizontal="left"/>
    </xf>
    <xf numFmtId="0" fontId="73" fillId="0" borderId="75" xfId="0" applyFont="1" applyBorder="1" applyAlignment="1">
      <alignment horizontal="left"/>
    </xf>
    <xf numFmtId="0" fontId="73" fillId="0" borderId="46" xfId="0" applyFont="1" applyBorder="1" applyAlignment="1">
      <alignment horizontal="left"/>
    </xf>
    <xf numFmtId="0" fontId="73" fillId="0" borderId="63" xfId="0" applyFont="1" applyBorder="1" applyAlignment="1">
      <alignment horizontal="left"/>
    </xf>
    <xf numFmtId="0" fontId="73" fillId="0" borderId="41" xfId="0" applyFont="1" applyBorder="1" applyAlignment="1">
      <alignment horizontal="left"/>
    </xf>
    <xf numFmtId="0" fontId="73" fillId="0" borderId="42" xfId="0" applyFont="1" applyBorder="1" applyAlignment="1">
      <alignment horizontal="left"/>
    </xf>
    <xf numFmtId="0" fontId="72" fillId="32" borderId="9" xfId="0" applyFont="1" applyFill="1" applyBorder="1" applyAlignment="1">
      <alignment horizontal="left"/>
    </xf>
    <xf numFmtId="0" fontId="72" fillId="32" borderId="76" xfId="0" applyFont="1" applyFill="1" applyBorder="1" applyAlignment="1">
      <alignment horizontal="left"/>
    </xf>
    <xf numFmtId="0" fontId="72" fillId="32" borderId="19" xfId="0" applyFont="1" applyFill="1" applyBorder="1" applyAlignment="1">
      <alignment horizontal="left"/>
    </xf>
    <xf numFmtId="0" fontId="72" fillId="32" borderId="20" xfId="0" applyFont="1" applyFill="1" applyBorder="1" applyAlignment="1">
      <alignment horizontal="left"/>
    </xf>
    <xf numFmtId="0" fontId="72" fillId="32" borderId="8" xfId="0" applyFont="1" applyFill="1" applyBorder="1" applyAlignment="1">
      <alignment horizontal="left"/>
    </xf>
    <xf numFmtId="0" fontId="73" fillId="0" borderId="51" xfId="0" applyFont="1" applyBorder="1" applyAlignment="1">
      <alignment horizontal="left"/>
    </xf>
    <xf numFmtId="0" fontId="73" fillId="0" borderId="58" xfId="0" applyFont="1" applyBorder="1" applyAlignment="1">
      <alignment horizontal="left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70" fillId="31" borderId="1" xfId="0" applyFont="1" applyFill="1" applyBorder="1" applyAlignment="1">
      <alignment horizontal="center" wrapText="1"/>
    </xf>
    <xf numFmtId="0" fontId="70" fillId="31" borderId="2" xfId="0" applyFont="1" applyFill="1" applyBorder="1" applyAlignment="1">
      <alignment horizontal="center" wrapText="1"/>
    </xf>
    <xf numFmtId="0" fontId="70" fillId="31" borderId="3" xfId="0" applyFont="1" applyFill="1" applyBorder="1" applyAlignment="1">
      <alignment horizontal="center" wrapText="1"/>
    </xf>
    <xf numFmtId="0" fontId="70" fillId="31" borderId="4" xfId="0" applyFont="1" applyFill="1" applyBorder="1" applyAlignment="1">
      <alignment horizontal="center" wrapText="1"/>
    </xf>
    <xf numFmtId="0" fontId="70" fillId="31" borderId="5" xfId="0" applyFont="1" applyFill="1" applyBorder="1" applyAlignment="1">
      <alignment horizontal="center" wrapText="1"/>
    </xf>
    <xf numFmtId="0" fontId="70" fillId="31" borderId="6" xfId="0" applyFont="1" applyFill="1" applyBorder="1" applyAlignment="1">
      <alignment horizontal="center" wrapText="1"/>
    </xf>
    <xf numFmtId="0" fontId="72" fillId="32" borderId="82" xfId="0" applyFont="1" applyFill="1" applyBorder="1" applyAlignment="1">
      <alignment horizontal="left"/>
    </xf>
    <xf numFmtId="0" fontId="73" fillId="0" borderId="59" xfId="0" applyFont="1" applyBorder="1" applyAlignment="1">
      <alignment horizontal="left"/>
    </xf>
    <xf numFmtId="0" fontId="83" fillId="0" borderId="0" xfId="50" applyFont="1" applyAlignment="1">
      <alignment horizontal="center" vertical="center"/>
    </xf>
    <xf numFmtId="0" fontId="113" fillId="0" borderId="0" xfId="50" applyFont="1" applyAlignment="1">
      <alignment horizontal="center" vertical="center"/>
    </xf>
  </cellXfs>
  <cellStyles count="70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 2" xfId="37"/>
    <cellStyle name="Normal_Sheet1" xfId="38"/>
    <cellStyle name="Normalno 2" xfId="39"/>
    <cellStyle name="Note" xfId="40"/>
    <cellStyle name="Obično" xfId="0" builtinId="0"/>
    <cellStyle name="Obično 2" xfId="41"/>
    <cellStyle name="Obično 2 2" xfId="42"/>
    <cellStyle name="Obično 2 3" xfId="43"/>
    <cellStyle name="Obično 2 4" xfId="44"/>
    <cellStyle name="Obično 3" xfId="45"/>
    <cellStyle name="Obično 3 2" xfId="46"/>
    <cellStyle name="Obično 3 3" xfId="47"/>
    <cellStyle name="Obično 3 4" xfId="66"/>
    <cellStyle name="Obično 3 5" xfId="67"/>
    <cellStyle name="Obično 4" xfId="48"/>
    <cellStyle name="Obično 5" xfId="49"/>
    <cellStyle name="Obično 6" xfId="50"/>
    <cellStyle name="Obično 7" xfId="64"/>
    <cellStyle name="Output" xfId="51"/>
    <cellStyle name="Title" xfId="52"/>
    <cellStyle name="Total" xfId="53"/>
    <cellStyle name="Warning Text" xfId="54"/>
    <cellStyle name="Zarez" xfId="63" builtinId="3"/>
    <cellStyle name="Zarez [0] 2" xfId="55"/>
    <cellStyle name="Zarez [0] 3" xfId="62"/>
    <cellStyle name="Zarez 2" xfId="56"/>
    <cellStyle name="Zarez 2 2" xfId="57"/>
    <cellStyle name="Zarez 2 2 2" xfId="60"/>
    <cellStyle name="Zarez 2 3" xfId="58"/>
    <cellStyle name="Zarez 2 4" xfId="61"/>
    <cellStyle name="Zarez 2 5" xfId="68"/>
    <cellStyle name="Zarez 2 6" xfId="69"/>
    <cellStyle name="Zarez 3" xfId="59"/>
    <cellStyle name="Zarez 4" xfId="6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US"/>
              <a:t>Zauzetost </a:t>
            </a:r>
            <a:r>
              <a:rPr lang="hr-HR"/>
              <a:t> </a:t>
            </a:r>
            <a:r>
              <a:rPr lang="en-US">
                <a:solidFill>
                  <a:srgbClr val="FF0000"/>
                </a:solidFill>
              </a:rPr>
              <a:t>SOBA</a:t>
            </a:r>
            <a:r>
              <a:rPr lang="en-US"/>
              <a:t> po objek</a:t>
            </a:r>
            <a:r>
              <a:rPr lang="hr-HR"/>
              <a:t>t</a:t>
            </a:r>
            <a:r>
              <a:rPr lang="en-US"/>
              <a:t>ima </a:t>
            </a:r>
            <a:r>
              <a:rPr lang="hr-HR"/>
              <a:t>   </a:t>
            </a:r>
          </a:p>
          <a:p>
            <a:pPr>
              <a:defRPr/>
            </a:pPr>
            <a:r>
              <a:rPr lang="en-US"/>
              <a:t>20</a:t>
            </a:r>
            <a:r>
              <a:rPr lang="hr-HR"/>
              <a:t>22</a:t>
            </a:r>
            <a:r>
              <a:rPr lang="en-US"/>
              <a:t>. god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v>DUBRAVA</c:v>
          </c:tx>
          <c:val>
            <c:numRef>
              <c:f>'tab 3-sobe'!$B$7:$B$18</c:f>
              <c:numCache>
                <c:formatCode>#,##0</c:formatCode>
                <c:ptCount val="12"/>
                <c:pt idx="0">
                  <c:v>391</c:v>
                </c:pt>
                <c:pt idx="1">
                  <c:v>370</c:v>
                </c:pt>
                <c:pt idx="2">
                  <c:v>670</c:v>
                </c:pt>
                <c:pt idx="3">
                  <c:v>706</c:v>
                </c:pt>
                <c:pt idx="4">
                  <c:v>1047</c:v>
                </c:pt>
                <c:pt idx="5">
                  <c:v>835</c:v>
                </c:pt>
                <c:pt idx="6">
                  <c:v>656</c:v>
                </c:pt>
                <c:pt idx="7">
                  <c:v>725</c:v>
                </c:pt>
                <c:pt idx="8">
                  <c:v>1001</c:v>
                </c:pt>
                <c:pt idx="9">
                  <c:v>813</c:v>
                </c:pt>
                <c:pt idx="10">
                  <c:v>574</c:v>
                </c:pt>
                <c:pt idx="11">
                  <c:v>240</c:v>
                </c:pt>
              </c:numCache>
            </c:numRef>
          </c:val>
        </c:ser>
        <c:ser>
          <c:idx val="1"/>
          <c:order val="1"/>
          <c:tx>
            <c:v>FIZIJATRIJA IV KAT</c:v>
          </c:tx>
          <c:val>
            <c:numRef>
              <c:f>'tab 3-sobe'!$E$7:$E$18</c:f>
              <c:numCache>
                <c:formatCode>#,##0</c:formatCode>
                <c:ptCount val="12"/>
                <c:pt idx="0">
                  <c:v>261</c:v>
                </c:pt>
                <c:pt idx="1">
                  <c:v>329</c:v>
                </c:pt>
                <c:pt idx="2">
                  <c:v>330</c:v>
                </c:pt>
                <c:pt idx="3">
                  <c:v>373</c:v>
                </c:pt>
                <c:pt idx="4">
                  <c:v>347</c:v>
                </c:pt>
                <c:pt idx="5">
                  <c:v>294</c:v>
                </c:pt>
                <c:pt idx="6">
                  <c:v>295</c:v>
                </c:pt>
                <c:pt idx="7">
                  <c:v>261</c:v>
                </c:pt>
                <c:pt idx="8">
                  <c:v>213</c:v>
                </c:pt>
                <c:pt idx="9">
                  <c:v>365</c:v>
                </c:pt>
                <c:pt idx="10">
                  <c:v>403</c:v>
                </c:pt>
                <c:pt idx="11">
                  <c:v>338</c:v>
                </c:pt>
              </c:numCache>
            </c:numRef>
          </c:val>
        </c:ser>
        <c:ser>
          <c:idx val="2"/>
          <c:order val="2"/>
          <c:tx>
            <c:v>EUROPA I i II </c:v>
          </c:tx>
          <c:val>
            <c:numRef>
              <c:f>'tab 3-sobe'!$H$7:$H$18</c:f>
              <c:numCache>
                <c:formatCode>#,##0</c:formatCode>
                <c:ptCount val="12"/>
                <c:pt idx="0">
                  <c:v>13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52</c:v>
                </c:pt>
                <c:pt idx="5">
                  <c:v>509</c:v>
                </c:pt>
                <c:pt idx="6">
                  <c:v>466</c:v>
                </c:pt>
                <c:pt idx="7">
                  <c:v>442</c:v>
                </c:pt>
                <c:pt idx="8">
                  <c:v>584</c:v>
                </c:pt>
                <c:pt idx="9">
                  <c:v>203</c:v>
                </c:pt>
                <c:pt idx="10">
                  <c:v>0</c:v>
                </c:pt>
                <c:pt idx="11">
                  <c:v>2</c:v>
                </c:pt>
              </c:numCache>
            </c:numRef>
          </c:val>
        </c:ser>
        <c:marker val="1"/>
        <c:axId val="113070464"/>
        <c:axId val="113072000"/>
      </c:lineChart>
      <c:catAx>
        <c:axId val="113070464"/>
        <c:scaling>
          <c:orientation val="minMax"/>
        </c:scaling>
        <c:axPos val="b"/>
        <c:majorTickMark val="none"/>
        <c:tickLblPos val="nextTo"/>
        <c:crossAx val="113072000"/>
        <c:crosses val="autoZero"/>
        <c:auto val="1"/>
        <c:lblAlgn val="ctr"/>
        <c:lblOffset val="100"/>
      </c:catAx>
      <c:valAx>
        <c:axId val="11307200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Broj noćenja</a:t>
                </a:r>
              </a:p>
            </c:rich>
          </c:tx>
        </c:title>
        <c:numFmt formatCode="#,##0" sourceLinked="1"/>
        <c:majorTickMark val="none"/>
        <c:tickLblPos val="nextTo"/>
        <c:crossAx val="11307046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988" l="0.70000000000000062" r="0.70000000000000062" t="0.75000000000000988" header="0.30000000000000032" footer="0.30000000000000032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style val="7"/>
  <c:chart>
    <c:title>
      <c:tx>
        <c:rich>
          <a:bodyPr/>
          <a:lstStyle/>
          <a:p>
            <a:pPr>
              <a:defRPr/>
            </a:pPr>
            <a:r>
              <a:rPr lang="hr-HR"/>
              <a:t>UTROŠAK</a:t>
            </a:r>
            <a:r>
              <a:rPr lang="en-US"/>
              <a:t> </a:t>
            </a:r>
            <a:r>
              <a:rPr lang="hr-HR"/>
              <a:t> VODE </a:t>
            </a:r>
            <a:r>
              <a:rPr lang="en-US"/>
              <a:t>U </a:t>
            </a:r>
            <a:r>
              <a:rPr lang="en-US">
                <a:solidFill>
                  <a:srgbClr val="FF0000"/>
                </a:solidFill>
              </a:rPr>
              <a:t>KUNAMA</a:t>
            </a:r>
            <a:r>
              <a:rPr lang="en-US"/>
              <a:t> </a:t>
            </a:r>
            <a:endParaRPr lang="hr-HR"/>
          </a:p>
          <a:p>
            <a:pPr>
              <a:defRPr/>
            </a:pPr>
            <a:r>
              <a:rPr lang="en-US"/>
              <a:t>20</a:t>
            </a:r>
            <a:r>
              <a:rPr lang="hr-HR"/>
              <a:t>21</a:t>
            </a:r>
            <a:r>
              <a:rPr lang="en-US"/>
              <a:t>./20</a:t>
            </a:r>
            <a:r>
              <a:rPr lang="hr-HR"/>
              <a:t>22</a:t>
            </a:r>
            <a:r>
              <a:rPr lang="en-US"/>
              <a:t>. GODINA</a:t>
            </a:r>
          </a:p>
        </c:rich>
      </c:tx>
    </c:title>
    <c:plotArea>
      <c:layout>
        <c:manualLayout>
          <c:layoutTarget val="inner"/>
          <c:xMode val="edge"/>
          <c:yMode val="edge"/>
          <c:x val="0.12217329437593898"/>
          <c:y val="0.17912456468233301"/>
          <c:w val="0.72203714158371712"/>
          <c:h val="0.749589141824198"/>
        </c:manualLayout>
      </c:layout>
      <c:barChart>
        <c:barDir val="col"/>
        <c:grouping val="clustered"/>
        <c:ser>
          <c:idx val="0"/>
          <c:order val="0"/>
          <c:tx>
            <c:v>2021. GODINA</c:v>
          </c:tx>
          <c:val>
            <c:numRef>
              <c:f>'tab 10-voda'!$C$7:$C$18</c:f>
              <c:numCache>
                <c:formatCode>#,##0.00\ [$kn-41A]</c:formatCode>
                <c:ptCount val="12"/>
                <c:pt idx="0">
                  <c:v>21202</c:v>
                </c:pt>
                <c:pt idx="1">
                  <c:v>30879.58</c:v>
                </c:pt>
                <c:pt idx="2">
                  <c:v>50768.82</c:v>
                </c:pt>
                <c:pt idx="3">
                  <c:v>39068.71</c:v>
                </c:pt>
                <c:pt idx="4">
                  <c:v>41650.659999999996</c:v>
                </c:pt>
                <c:pt idx="5">
                  <c:v>43554.25</c:v>
                </c:pt>
                <c:pt idx="6">
                  <c:v>47339.18</c:v>
                </c:pt>
                <c:pt idx="7">
                  <c:v>46817.54</c:v>
                </c:pt>
                <c:pt idx="8">
                  <c:v>45086.61</c:v>
                </c:pt>
                <c:pt idx="9">
                  <c:v>42088.32</c:v>
                </c:pt>
                <c:pt idx="10">
                  <c:v>39147.07</c:v>
                </c:pt>
                <c:pt idx="11">
                  <c:v>39827.630000000005</c:v>
                </c:pt>
              </c:numCache>
            </c:numRef>
          </c:val>
        </c:ser>
        <c:ser>
          <c:idx val="1"/>
          <c:order val="1"/>
          <c:tx>
            <c:v>2022. GODINA</c:v>
          </c:tx>
          <c:val>
            <c:numRef>
              <c:f>'tab 10-voda'!$E$7:$E$18</c:f>
              <c:numCache>
                <c:formatCode>#,##0.00\ [$kn-41A]</c:formatCode>
                <c:ptCount val="12"/>
                <c:pt idx="0">
                  <c:v>35562.43</c:v>
                </c:pt>
                <c:pt idx="1">
                  <c:v>44162.57</c:v>
                </c:pt>
                <c:pt idx="2">
                  <c:v>44831.149999999994</c:v>
                </c:pt>
                <c:pt idx="3">
                  <c:v>45962.6</c:v>
                </c:pt>
                <c:pt idx="4">
                  <c:v>47010.23</c:v>
                </c:pt>
                <c:pt idx="5">
                  <c:v>52248.86</c:v>
                </c:pt>
                <c:pt idx="6">
                  <c:v>48785.509999999995</c:v>
                </c:pt>
                <c:pt idx="7">
                  <c:v>47174.18</c:v>
                </c:pt>
                <c:pt idx="8">
                  <c:v>45898.17</c:v>
                </c:pt>
                <c:pt idx="9">
                  <c:v>41471.99</c:v>
                </c:pt>
                <c:pt idx="10">
                  <c:v>44984.91</c:v>
                </c:pt>
                <c:pt idx="11">
                  <c:v>40200.6</c:v>
                </c:pt>
              </c:numCache>
            </c:numRef>
          </c:val>
        </c:ser>
        <c:axId val="147295616"/>
        <c:axId val="147321984"/>
      </c:barChart>
      <c:catAx>
        <c:axId val="147295616"/>
        <c:scaling>
          <c:orientation val="minMax"/>
        </c:scaling>
        <c:axPos val="b"/>
        <c:majorTickMark val="none"/>
        <c:tickLblPos val="nextTo"/>
        <c:crossAx val="147321984"/>
        <c:crosses val="autoZero"/>
        <c:auto val="1"/>
        <c:lblAlgn val="ctr"/>
        <c:lblOffset val="100"/>
      </c:catAx>
      <c:valAx>
        <c:axId val="147321984"/>
        <c:scaling>
          <c:orientation val="minMax"/>
        </c:scaling>
        <c:axPos val="l"/>
        <c:majorGridlines/>
        <c:numFmt formatCode="#,##0.00\ [$kn-41A]" sourceLinked="1"/>
        <c:majorTickMark val="none"/>
        <c:tickLblPos val="nextTo"/>
        <c:crossAx val="14729561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1255" l="0.70000000000000062" r="0.70000000000000062" t="0.7500000000000125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hr-HR"/>
              <a:t>USPOREDBA</a:t>
            </a:r>
            <a:r>
              <a:rPr lang="hr-HR" baseline="0"/>
              <a:t> </a:t>
            </a:r>
            <a:r>
              <a:rPr lang="en-US"/>
              <a:t>UTROŠAK</a:t>
            </a:r>
            <a:r>
              <a:rPr lang="hr-HR"/>
              <a:t>A</a:t>
            </a:r>
            <a:r>
              <a:rPr lang="en-US"/>
              <a:t> ENERGENATA </a:t>
            </a:r>
            <a:r>
              <a:rPr lang="hr-HR"/>
              <a:t>i</a:t>
            </a:r>
            <a:r>
              <a:rPr lang="hr-HR" baseline="0"/>
              <a:t> VODE </a:t>
            </a:r>
            <a:r>
              <a:rPr lang="en-US"/>
              <a:t>U KUNAMA </a:t>
            </a:r>
            <a:endParaRPr lang="hr-HR"/>
          </a:p>
          <a:p>
            <a:pPr>
              <a:defRPr/>
            </a:pPr>
            <a:r>
              <a:rPr lang="en-US"/>
              <a:t>20</a:t>
            </a:r>
            <a:r>
              <a:rPr lang="hr-HR"/>
              <a:t>21</a:t>
            </a:r>
            <a:r>
              <a:rPr lang="en-US"/>
              <a:t>./202</a:t>
            </a:r>
            <a:r>
              <a:rPr lang="hr-HR"/>
              <a:t>2</a:t>
            </a:r>
            <a:r>
              <a:rPr lang="en-US"/>
              <a:t>. GODINE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v>2021</c:v>
          </c:tx>
          <c:dLbls>
            <c:showSerName val="1"/>
          </c:dLbls>
          <c:cat>
            <c:strRef>
              <c:f>'tab 11-energenti'!$A$7:$A$10</c:f>
              <c:strCache>
                <c:ptCount val="4"/>
                <c:pt idx="0">
                  <c:v>LOŽ ULJE</c:v>
                </c:pt>
                <c:pt idx="1">
                  <c:v>ELEKTRIČNA ENERGIJA</c:v>
                </c:pt>
                <c:pt idx="2">
                  <c:v>PLIN</c:v>
                </c:pt>
                <c:pt idx="3">
                  <c:v>VODA</c:v>
                </c:pt>
              </c:strCache>
            </c:strRef>
          </c:cat>
          <c:val>
            <c:numRef>
              <c:f>'tab 11-energenti'!$D$7:$D$10</c:f>
              <c:numCache>
                <c:formatCode>#,##0.00\ [$kn-41A]</c:formatCode>
                <c:ptCount val="4"/>
                <c:pt idx="0">
                  <c:v>955874.33</c:v>
                </c:pt>
                <c:pt idx="1">
                  <c:v>1337431.45</c:v>
                </c:pt>
                <c:pt idx="2">
                  <c:v>96233.32</c:v>
                </c:pt>
                <c:pt idx="3">
                  <c:v>487430.37</c:v>
                </c:pt>
              </c:numCache>
            </c:numRef>
          </c:val>
        </c:ser>
        <c:ser>
          <c:idx val="1"/>
          <c:order val="1"/>
          <c:tx>
            <c:v>2022</c:v>
          </c:tx>
          <c:dLbls>
            <c:showSerName val="1"/>
          </c:dLbls>
          <c:cat>
            <c:strRef>
              <c:f>'tab 11-energenti'!$A$7:$A$10</c:f>
              <c:strCache>
                <c:ptCount val="4"/>
                <c:pt idx="0">
                  <c:v>LOŽ ULJE</c:v>
                </c:pt>
                <c:pt idx="1">
                  <c:v>ELEKTRIČNA ENERGIJA</c:v>
                </c:pt>
                <c:pt idx="2">
                  <c:v>PLIN</c:v>
                </c:pt>
                <c:pt idx="3">
                  <c:v>VODA</c:v>
                </c:pt>
              </c:strCache>
            </c:strRef>
          </c:cat>
          <c:val>
            <c:numRef>
              <c:f>'tab 11-energenti'!$F$7:$F$10</c:f>
              <c:numCache>
                <c:formatCode>#,##0.00\ [$kn-41A]</c:formatCode>
                <c:ptCount val="4"/>
                <c:pt idx="0">
                  <c:v>1653478.05</c:v>
                </c:pt>
                <c:pt idx="1">
                  <c:v>1438064.78</c:v>
                </c:pt>
                <c:pt idx="2">
                  <c:v>141829.84</c:v>
                </c:pt>
                <c:pt idx="3">
                  <c:v>538293.19999999995</c:v>
                </c:pt>
              </c:numCache>
            </c:numRef>
          </c:val>
        </c:ser>
        <c:axId val="116087424"/>
        <c:axId val="116117888"/>
      </c:barChart>
      <c:catAx>
        <c:axId val="116087424"/>
        <c:scaling>
          <c:orientation val="minMax"/>
        </c:scaling>
        <c:axPos val="b"/>
        <c:numFmt formatCode="General" sourceLinked="1"/>
        <c:majorTickMark val="none"/>
        <c:tickLblPos val="nextTo"/>
        <c:crossAx val="116117888"/>
        <c:crosses val="autoZero"/>
        <c:auto val="1"/>
        <c:lblAlgn val="ctr"/>
        <c:lblOffset val="100"/>
      </c:catAx>
      <c:valAx>
        <c:axId val="116117888"/>
        <c:scaling>
          <c:orientation val="minMax"/>
        </c:scaling>
        <c:axPos val="l"/>
        <c:majorGridlines/>
        <c:numFmt formatCode="#,##0.00\ [$kn-41A]" sourceLinked="1"/>
        <c:majorTickMark val="none"/>
        <c:tickLblPos val="nextTo"/>
        <c:crossAx val="116087424"/>
        <c:crosses val="autoZero"/>
        <c:crossBetween val="between"/>
      </c:valAx>
    </c:plotArea>
    <c:plotVisOnly val="1"/>
  </c:chart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US"/>
              <a:t>Broj noćenja pacijenata HZZO po mjesecima 202</a:t>
            </a:r>
            <a:r>
              <a:rPr lang="hr-HR"/>
              <a:t>2</a:t>
            </a:r>
            <a:r>
              <a:rPr lang="en-US"/>
              <a:t>. godine</a:t>
            </a:r>
          </a:p>
        </c:rich>
      </c:tx>
    </c:title>
    <c:plotArea>
      <c:layout/>
      <c:lineChart>
        <c:grouping val="standard"/>
        <c:ser>
          <c:idx val="0"/>
          <c:order val="0"/>
          <c:marker>
            <c:symbol val="none"/>
          </c:marker>
          <c:cat>
            <c:strRef>
              <c:f>'tab 4-kreveti HZZO'!$A$7:$A$18</c:f>
              <c:strCache>
                <c:ptCount val="12"/>
                <c:pt idx="0">
                  <c:v>01/2022</c:v>
                </c:pt>
                <c:pt idx="1">
                  <c:v>02/2022</c:v>
                </c:pt>
                <c:pt idx="2">
                  <c:v>03/2022</c:v>
                </c:pt>
                <c:pt idx="3">
                  <c:v>04/2022</c:v>
                </c:pt>
                <c:pt idx="4">
                  <c:v>05/2022</c:v>
                </c:pt>
                <c:pt idx="5">
                  <c:v>06/2022</c:v>
                </c:pt>
                <c:pt idx="6">
                  <c:v>07/2022</c:v>
                </c:pt>
                <c:pt idx="7">
                  <c:v>08/2022</c:v>
                </c:pt>
                <c:pt idx="8">
                  <c:v>09/2022</c:v>
                </c:pt>
                <c:pt idx="9">
                  <c:v>10/2022</c:v>
                </c:pt>
                <c:pt idx="10">
                  <c:v>11/2022</c:v>
                </c:pt>
                <c:pt idx="11">
                  <c:v>12/2022</c:v>
                </c:pt>
              </c:strCache>
            </c:strRef>
          </c:cat>
          <c:val>
            <c:numRef>
              <c:f>'tab 4-kreveti HZZO'!$B$7:$B$18</c:f>
              <c:numCache>
                <c:formatCode>#,##0</c:formatCode>
                <c:ptCount val="12"/>
                <c:pt idx="0">
                  <c:v>2658</c:v>
                </c:pt>
                <c:pt idx="1">
                  <c:v>2603</c:v>
                </c:pt>
                <c:pt idx="2">
                  <c:v>3290</c:v>
                </c:pt>
                <c:pt idx="3">
                  <c:v>2973</c:v>
                </c:pt>
                <c:pt idx="4">
                  <c:v>2714</c:v>
                </c:pt>
                <c:pt idx="5">
                  <c:v>2243</c:v>
                </c:pt>
                <c:pt idx="6">
                  <c:v>2454</c:v>
                </c:pt>
                <c:pt idx="7">
                  <c:v>2296</c:v>
                </c:pt>
                <c:pt idx="8">
                  <c:v>1983</c:v>
                </c:pt>
                <c:pt idx="9">
                  <c:v>2602</c:v>
                </c:pt>
                <c:pt idx="10">
                  <c:v>3119</c:v>
                </c:pt>
                <c:pt idx="11">
                  <c:v>2827</c:v>
                </c:pt>
              </c:numCache>
            </c:numRef>
          </c:val>
        </c:ser>
        <c:marker val="1"/>
        <c:axId val="113289472"/>
        <c:axId val="113299456"/>
      </c:lineChart>
      <c:catAx>
        <c:axId val="113289472"/>
        <c:scaling>
          <c:orientation val="minMax"/>
        </c:scaling>
        <c:axPos val="b"/>
        <c:numFmt formatCode="General" sourceLinked="1"/>
        <c:majorTickMark val="none"/>
        <c:tickLblPos val="nextTo"/>
        <c:crossAx val="113299456"/>
        <c:crosses val="autoZero"/>
        <c:auto val="1"/>
        <c:lblAlgn val="ctr"/>
        <c:lblOffset val="100"/>
      </c:catAx>
      <c:valAx>
        <c:axId val="113299456"/>
        <c:scaling>
          <c:orientation val="minMax"/>
        </c:scaling>
        <c:axPos val="l"/>
        <c:majorGridlines/>
        <c:numFmt formatCode="#,##0" sourceLinked="1"/>
        <c:majorTickMark val="none"/>
        <c:tickLblPos val="nextTo"/>
        <c:spPr>
          <a:ln w="9525">
            <a:noFill/>
          </a:ln>
        </c:spPr>
        <c:crossAx val="113289472"/>
        <c:crosses val="autoZero"/>
        <c:crossBetween val="between"/>
      </c:valAx>
    </c:plotArea>
    <c:plotVisOnly val="1"/>
  </c:chart>
  <c:printSettings>
    <c:headerFooter/>
    <c:pageMargins b="0.75000000000000411" l="0.70000000000000062" r="0.70000000000000062" t="0.75000000000000411" header="0.30000000000000032" footer="0.30000000000000032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hr-HR"/>
              <a:t>UTROŠAK NAFTE U </a:t>
            </a:r>
            <a:r>
              <a:rPr lang="hr-HR">
                <a:solidFill>
                  <a:srgbClr val="FF0000"/>
                </a:solidFill>
              </a:rPr>
              <a:t>LITRAMA</a:t>
            </a:r>
            <a:r>
              <a:rPr lang="hr-HR" baseline="0"/>
              <a:t> </a:t>
            </a:r>
          </a:p>
          <a:p>
            <a:pPr>
              <a:defRPr/>
            </a:pPr>
            <a:r>
              <a:rPr lang="hr-HR" baseline="0"/>
              <a:t>2021./2022. GODINE</a:t>
            </a:r>
            <a:endParaRPr lang="en-GB"/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2021. godina</c:v>
          </c:tx>
          <c:val>
            <c:numRef>
              <c:f>'tab 7-nafta'!$B$7:$B$18</c:f>
              <c:numCache>
                <c:formatCode>#,##0</c:formatCode>
                <c:ptCount val="12"/>
                <c:pt idx="0">
                  <c:v>12000</c:v>
                </c:pt>
                <c:pt idx="1">
                  <c:v>36012</c:v>
                </c:pt>
                <c:pt idx="2">
                  <c:v>24007</c:v>
                </c:pt>
                <c:pt idx="3">
                  <c:v>24005</c:v>
                </c:pt>
                <c:pt idx="4">
                  <c:v>12002</c:v>
                </c:pt>
                <c:pt idx="5">
                  <c:v>0</c:v>
                </c:pt>
                <c:pt idx="6">
                  <c:v>12004</c:v>
                </c:pt>
                <c:pt idx="7">
                  <c:v>0</c:v>
                </c:pt>
                <c:pt idx="8">
                  <c:v>12001</c:v>
                </c:pt>
                <c:pt idx="9">
                  <c:v>12001</c:v>
                </c:pt>
                <c:pt idx="10">
                  <c:v>24000</c:v>
                </c:pt>
                <c:pt idx="11">
                  <c:v>36000</c:v>
                </c:pt>
              </c:numCache>
            </c:numRef>
          </c:val>
        </c:ser>
        <c:ser>
          <c:idx val="1"/>
          <c:order val="1"/>
          <c:tx>
            <c:v>2022. godina</c:v>
          </c:tx>
          <c:val>
            <c:numRef>
              <c:f>'tab 7-nafta'!$D$7:$D$18</c:f>
              <c:numCache>
                <c:formatCode>#,##0</c:formatCode>
                <c:ptCount val="12"/>
                <c:pt idx="0">
                  <c:v>24000</c:v>
                </c:pt>
                <c:pt idx="1">
                  <c:v>36000</c:v>
                </c:pt>
                <c:pt idx="2">
                  <c:v>26000</c:v>
                </c:pt>
                <c:pt idx="3">
                  <c:v>24006</c:v>
                </c:pt>
                <c:pt idx="4">
                  <c:v>12000</c:v>
                </c:pt>
                <c:pt idx="5">
                  <c:v>12000</c:v>
                </c:pt>
                <c:pt idx="6">
                  <c:v>0</c:v>
                </c:pt>
                <c:pt idx="7">
                  <c:v>0</c:v>
                </c:pt>
                <c:pt idx="8">
                  <c:v>12000</c:v>
                </c:pt>
                <c:pt idx="9">
                  <c:v>12000</c:v>
                </c:pt>
                <c:pt idx="10">
                  <c:v>24001</c:v>
                </c:pt>
                <c:pt idx="11">
                  <c:v>24001</c:v>
                </c:pt>
              </c:numCache>
            </c:numRef>
          </c:val>
        </c:ser>
        <c:shape val="box"/>
        <c:axId val="113349376"/>
        <c:axId val="113350912"/>
        <c:axId val="0"/>
      </c:bar3DChart>
      <c:catAx>
        <c:axId val="113349376"/>
        <c:scaling>
          <c:orientation val="minMax"/>
        </c:scaling>
        <c:axPos val="b"/>
        <c:majorTickMark val="none"/>
        <c:tickLblPos val="nextTo"/>
        <c:crossAx val="113350912"/>
        <c:crosses val="autoZero"/>
        <c:auto val="1"/>
        <c:lblAlgn val="ctr"/>
        <c:lblOffset val="100"/>
      </c:catAx>
      <c:valAx>
        <c:axId val="11335091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LITARA</a:t>
                </a:r>
              </a:p>
            </c:rich>
          </c:tx>
        </c:title>
        <c:numFmt formatCode="#,##0" sourceLinked="1"/>
        <c:majorTickMark val="none"/>
        <c:tickLblPos val="nextTo"/>
        <c:crossAx val="11334937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1177" l="0.70000000000000062" r="0.70000000000000062" t="0.75000000000001177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hr-HR"/>
              <a:t>UTROŠAK</a:t>
            </a:r>
            <a:r>
              <a:rPr lang="en-US"/>
              <a:t> NAFTE U </a:t>
            </a:r>
            <a:r>
              <a:rPr lang="en-US">
                <a:solidFill>
                  <a:srgbClr val="FF0000"/>
                </a:solidFill>
              </a:rPr>
              <a:t>KUNAMA</a:t>
            </a:r>
            <a:r>
              <a:rPr lang="en-US"/>
              <a:t> </a:t>
            </a:r>
            <a:endParaRPr lang="hr-HR"/>
          </a:p>
          <a:p>
            <a:pPr>
              <a:defRPr/>
            </a:pPr>
            <a:r>
              <a:rPr lang="en-US"/>
              <a:t>20</a:t>
            </a:r>
            <a:r>
              <a:rPr lang="hr-HR"/>
              <a:t>21</a:t>
            </a:r>
            <a:r>
              <a:rPr lang="en-US"/>
              <a:t>./20</a:t>
            </a:r>
            <a:r>
              <a:rPr lang="hr-HR"/>
              <a:t>22</a:t>
            </a:r>
            <a:r>
              <a:rPr lang="en-US"/>
              <a:t>. GODINA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v>2021. godina</c:v>
          </c:tx>
          <c:val>
            <c:numRef>
              <c:f>'tab 7-nafta'!$C$7:$C$18</c:f>
              <c:numCache>
                <c:formatCode>#,##0.00\ [$kn-41A]</c:formatCode>
                <c:ptCount val="12"/>
                <c:pt idx="0">
                  <c:v>43590</c:v>
                </c:pt>
                <c:pt idx="1">
                  <c:v>141167.53</c:v>
                </c:pt>
                <c:pt idx="2">
                  <c:v>102629.93</c:v>
                </c:pt>
                <c:pt idx="3">
                  <c:v>101121.11</c:v>
                </c:pt>
                <c:pt idx="4">
                  <c:v>52898.83</c:v>
                </c:pt>
                <c:pt idx="5">
                  <c:v>0</c:v>
                </c:pt>
                <c:pt idx="6">
                  <c:v>57394.13</c:v>
                </c:pt>
                <c:pt idx="7">
                  <c:v>0</c:v>
                </c:pt>
                <c:pt idx="8">
                  <c:v>59239.94</c:v>
                </c:pt>
                <c:pt idx="9">
                  <c:v>70385.86</c:v>
                </c:pt>
                <c:pt idx="10">
                  <c:v>135585</c:v>
                </c:pt>
                <c:pt idx="11">
                  <c:v>191862</c:v>
                </c:pt>
              </c:numCache>
            </c:numRef>
          </c:val>
        </c:ser>
        <c:ser>
          <c:idx val="1"/>
          <c:order val="1"/>
          <c:tx>
            <c:v>2022. godina</c:v>
          </c:tx>
          <c:val>
            <c:numRef>
              <c:f>'tab 7-nafta'!$E$7:$E$18</c:f>
              <c:numCache>
                <c:formatCode>#,##0.00\ [$kn-41A]</c:formatCode>
                <c:ptCount val="12"/>
                <c:pt idx="0">
                  <c:v>142515</c:v>
                </c:pt>
                <c:pt idx="1">
                  <c:v>234435</c:v>
                </c:pt>
                <c:pt idx="2">
                  <c:v>187232.5</c:v>
                </c:pt>
                <c:pt idx="3">
                  <c:v>209182.28</c:v>
                </c:pt>
                <c:pt idx="4">
                  <c:v>111480</c:v>
                </c:pt>
                <c:pt idx="5">
                  <c:v>111810</c:v>
                </c:pt>
                <c:pt idx="6">
                  <c:v>0</c:v>
                </c:pt>
                <c:pt idx="7">
                  <c:v>0</c:v>
                </c:pt>
                <c:pt idx="8">
                  <c:v>104775</c:v>
                </c:pt>
                <c:pt idx="9">
                  <c:v>122100</c:v>
                </c:pt>
                <c:pt idx="10">
                  <c:v>224469.74</c:v>
                </c:pt>
                <c:pt idx="11">
                  <c:v>205478.53</c:v>
                </c:pt>
              </c:numCache>
            </c:numRef>
          </c:val>
        </c:ser>
        <c:axId val="146743680"/>
        <c:axId val="146745216"/>
      </c:barChart>
      <c:catAx>
        <c:axId val="146743680"/>
        <c:scaling>
          <c:orientation val="minMax"/>
        </c:scaling>
        <c:axPos val="b"/>
        <c:majorTickMark val="none"/>
        <c:tickLblPos val="nextTo"/>
        <c:crossAx val="146745216"/>
        <c:crosses val="autoZero"/>
        <c:auto val="1"/>
        <c:lblAlgn val="ctr"/>
        <c:lblOffset val="100"/>
      </c:catAx>
      <c:valAx>
        <c:axId val="146745216"/>
        <c:scaling>
          <c:orientation val="minMax"/>
        </c:scaling>
        <c:axPos val="l"/>
        <c:majorGridlines/>
        <c:numFmt formatCode="#,##0.00\ [$kn-41A]" sourceLinked="1"/>
        <c:majorTickMark val="none"/>
        <c:tickLblPos val="nextTo"/>
        <c:crossAx val="14674368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1166" l="0.70000000000000062" r="0.70000000000000062" t="0.750000000000011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style val="12"/>
  <c:chart>
    <c:title>
      <c:tx>
        <c:rich>
          <a:bodyPr/>
          <a:lstStyle/>
          <a:p>
            <a:pPr>
              <a:defRPr/>
            </a:pPr>
            <a:r>
              <a:rPr lang="hr-HR"/>
              <a:t>UTROŠAK</a:t>
            </a:r>
            <a:r>
              <a:rPr lang="en-US"/>
              <a:t> </a:t>
            </a:r>
            <a:r>
              <a:rPr lang="hr-HR"/>
              <a:t>ELEKTRIČNE ENERGIJE </a:t>
            </a:r>
            <a:r>
              <a:rPr lang="en-US"/>
              <a:t>U </a:t>
            </a:r>
            <a:r>
              <a:rPr lang="hr-HR">
                <a:solidFill>
                  <a:srgbClr val="FF0000"/>
                </a:solidFill>
              </a:rPr>
              <a:t>kWh</a:t>
            </a:r>
          </a:p>
          <a:p>
            <a:pPr>
              <a:defRPr/>
            </a:pPr>
            <a:r>
              <a:rPr lang="en-US"/>
              <a:t> 20</a:t>
            </a:r>
            <a:r>
              <a:rPr lang="hr-HR"/>
              <a:t>21</a:t>
            </a:r>
            <a:r>
              <a:rPr lang="en-US"/>
              <a:t>.</a:t>
            </a:r>
            <a:r>
              <a:rPr lang="hr-HR"/>
              <a:t>/</a:t>
            </a:r>
            <a:r>
              <a:rPr lang="en-US"/>
              <a:t>20</a:t>
            </a:r>
            <a:r>
              <a:rPr lang="hr-HR"/>
              <a:t>22</a:t>
            </a:r>
            <a:r>
              <a:rPr lang="en-US"/>
              <a:t>. GODIN</a:t>
            </a:r>
            <a:r>
              <a:rPr lang="hr-HR"/>
              <a:t>E</a:t>
            </a:r>
            <a:endParaRPr lang="en-US"/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2021. GODINA</c:v>
          </c:tx>
          <c:val>
            <c:numRef>
              <c:f>'tab 8-el.energija'!$B$7:$B$18</c:f>
              <c:numCache>
                <c:formatCode>#,##0</c:formatCode>
                <c:ptCount val="12"/>
                <c:pt idx="0">
                  <c:v>88892</c:v>
                </c:pt>
                <c:pt idx="1">
                  <c:v>106520</c:v>
                </c:pt>
                <c:pt idx="2">
                  <c:v>117357</c:v>
                </c:pt>
                <c:pt idx="3">
                  <c:v>111199</c:v>
                </c:pt>
                <c:pt idx="4">
                  <c:v>113700</c:v>
                </c:pt>
                <c:pt idx="5">
                  <c:v>138631</c:v>
                </c:pt>
                <c:pt idx="6">
                  <c:v>158827</c:v>
                </c:pt>
                <c:pt idx="7">
                  <c:v>153588</c:v>
                </c:pt>
                <c:pt idx="8">
                  <c:v>136846</c:v>
                </c:pt>
                <c:pt idx="9">
                  <c:v>131726</c:v>
                </c:pt>
                <c:pt idx="10">
                  <c:v>123040</c:v>
                </c:pt>
                <c:pt idx="11">
                  <c:v>114977</c:v>
                </c:pt>
              </c:numCache>
            </c:numRef>
          </c:val>
        </c:ser>
        <c:ser>
          <c:idx val="1"/>
          <c:order val="1"/>
          <c:tx>
            <c:v>2022. GODINA</c:v>
          </c:tx>
          <c:val>
            <c:numRef>
              <c:f>'tab 8-el.energija'!$D$7:$D$18</c:f>
              <c:numCache>
                <c:formatCode>#,##0</c:formatCode>
                <c:ptCount val="12"/>
                <c:pt idx="0">
                  <c:v>128837</c:v>
                </c:pt>
                <c:pt idx="1">
                  <c:v>121531</c:v>
                </c:pt>
                <c:pt idx="2">
                  <c:v>129803</c:v>
                </c:pt>
                <c:pt idx="3">
                  <c:v>123744</c:v>
                </c:pt>
                <c:pt idx="4">
                  <c:v>133816</c:v>
                </c:pt>
                <c:pt idx="5">
                  <c:v>159482</c:v>
                </c:pt>
                <c:pt idx="6">
                  <c:v>169073</c:v>
                </c:pt>
                <c:pt idx="7">
                  <c:v>159524</c:v>
                </c:pt>
                <c:pt idx="8">
                  <c:v>135385</c:v>
                </c:pt>
                <c:pt idx="9">
                  <c:v>127630</c:v>
                </c:pt>
                <c:pt idx="10">
                  <c:v>112456</c:v>
                </c:pt>
                <c:pt idx="11">
                  <c:v>110827</c:v>
                </c:pt>
              </c:numCache>
            </c:numRef>
          </c:val>
        </c:ser>
        <c:shape val="box"/>
        <c:axId val="146684928"/>
        <c:axId val="146715392"/>
        <c:axId val="0"/>
      </c:bar3DChart>
      <c:catAx>
        <c:axId val="146684928"/>
        <c:scaling>
          <c:orientation val="minMax"/>
        </c:scaling>
        <c:axPos val="b"/>
        <c:majorTickMark val="none"/>
        <c:tickLblPos val="nextTo"/>
        <c:crossAx val="146715392"/>
        <c:crosses val="autoZero"/>
        <c:auto val="1"/>
        <c:lblAlgn val="ctr"/>
        <c:lblOffset val="100"/>
      </c:catAx>
      <c:valAx>
        <c:axId val="14671539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 i="1"/>
                </a:pPr>
                <a:r>
                  <a:rPr lang="en-US" i="1"/>
                  <a:t>kWh</a:t>
                </a:r>
              </a:p>
            </c:rich>
          </c:tx>
        </c:title>
        <c:numFmt formatCode="#,##0" sourceLinked="1"/>
        <c:majorTickMark val="none"/>
        <c:tickLblPos val="nextTo"/>
        <c:crossAx val="14668492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style val="4"/>
  <c:chart>
    <c:title>
      <c:tx>
        <c:rich>
          <a:bodyPr/>
          <a:lstStyle/>
          <a:p>
            <a:pPr>
              <a:defRPr/>
            </a:pPr>
            <a:r>
              <a:rPr lang="hr-HR"/>
              <a:t>UTROŠAK</a:t>
            </a:r>
            <a:r>
              <a:rPr lang="en-US"/>
              <a:t> </a:t>
            </a:r>
            <a:r>
              <a:rPr lang="hr-HR"/>
              <a:t>ELEKTRIČNE ENERGIJE </a:t>
            </a:r>
            <a:r>
              <a:rPr lang="en-US"/>
              <a:t>U </a:t>
            </a:r>
            <a:r>
              <a:rPr lang="en-US">
                <a:solidFill>
                  <a:srgbClr val="FF0000"/>
                </a:solidFill>
              </a:rPr>
              <a:t>KUNAMA</a:t>
            </a:r>
            <a:r>
              <a:rPr lang="en-US"/>
              <a:t> </a:t>
            </a:r>
            <a:endParaRPr lang="hr-HR"/>
          </a:p>
          <a:p>
            <a:pPr>
              <a:defRPr/>
            </a:pPr>
            <a:r>
              <a:rPr lang="en-US"/>
              <a:t>20</a:t>
            </a:r>
            <a:r>
              <a:rPr lang="hr-HR"/>
              <a:t>21</a:t>
            </a:r>
            <a:r>
              <a:rPr lang="en-US"/>
              <a:t>./20</a:t>
            </a:r>
            <a:r>
              <a:rPr lang="hr-HR"/>
              <a:t>22</a:t>
            </a:r>
            <a:r>
              <a:rPr lang="en-US"/>
              <a:t>. GODINA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v>2021. GODINA</c:v>
          </c:tx>
          <c:val>
            <c:numRef>
              <c:f>'tab 8-el.energija'!$C$7:$C$18</c:f>
              <c:numCache>
                <c:formatCode>_-* #,##0.00\ [$kn-41A]_-;\-* #,##0.00\ [$kn-41A]_-;_-* "-"??\ [$kn-41A]_-;_-@_-</c:formatCode>
                <c:ptCount val="12"/>
                <c:pt idx="0">
                  <c:v>80815.97</c:v>
                </c:pt>
                <c:pt idx="1">
                  <c:v>96548.61</c:v>
                </c:pt>
                <c:pt idx="2">
                  <c:v>105896.77</c:v>
                </c:pt>
                <c:pt idx="3">
                  <c:v>99025.52</c:v>
                </c:pt>
                <c:pt idx="4">
                  <c:v>100807.03</c:v>
                </c:pt>
                <c:pt idx="5">
                  <c:v>124448.45</c:v>
                </c:pt>
                <c:pt idx="6">
                  <c:v>141199.24000000002</c:v>
                </c:pt>
                <c:pt idx="7">
                  <c:v>135953.31</c:v>
                </c:pt>
                <c:pt idx="8">
                  <c:v>121955.08</c:v>
                </c:pt>
                <c:pt idx="9">
                  <c:v>115892.31999999999</c:v>
                </c:pt>
                <c:pt idx="10">
                  <c:v>111043.11</c:v>
                </c:pt>
                <c:pt idx="11">
                  <c:v>103846.04</c:v>
                </c:pt>
              </c:numCache>
            </c:numRef>
          </c:val>
        </c:ser>
        <c:ser>
          <c:idx val="1"/>
          <c:order val="1"/>
          <c:tx>
            <c:v>2022. GODINA</c:v>
          </c:tx>
          <c:val>
            <c:numRef>
              <c:f>'tab 8-el.energija'!$E$7:$E$18</c:f>
              <c:numCache>
                <c:formatCode>#,##0.00\ [$kn-41A]</c:formatCode>
                <c:ptCount val="12"/>
                <c:pt idx="0">
                  <c:v>115310.50000000001</c:v>
                </c:pt>
                <c:pt idx="1">
                  <c:v>109075.91</c:v>
                </c:pt>
                <c:pt idx="2">
                  <c:v>116148.24999999999</c:v>
                </c:pt>
                <c:pt idx="3">
                  <c:v>109303.8</c:v>
                </c:pt>
                <c:pt idx="4">
                  <c:v>119444.45000000001</c:v>
                </c:pt>
                <c:pt idx="5">
                  <c:v>142017.06000000003</c:v>
                </c:pt>
                <c:pt idx="6">
                  <c:v>149595.62000000002</c:v>
                </c:pt>
                <c:pt idx="7">
                  <c:v>140955.63</c:v>
                </c:pt>
                <c:pt idx="8">
                  <c:v>120303.54</c:v>
                </c:pt>
                <c:pt idx="9">
                  <c:v>112414.92000000001</c:v>
                </c:pt>
                <c:pt idx="10">
                  <c:v>101535.23</c:v>
                </c:pt>
                <c:pt idx="11">
                  <c:v>101959.87</c:v>
                </c:pt>
              </c:numCache>
            </c:numRef>
          </c:val>
        </c:ser>
        <c:axId val="147090048"/>
        <c:axId val="147100032"/>
      </c:barChart>
      <c:catAx>
        <c:axId val="147090048"/>
        <c:scaling>
          <c:orientation val="minMax"/>
        </c:scaling>
        <c:axPos val="b"/>
        <c:majorTickMark val="none"/>
        <c:tickLblPos val="nextTo"/>
        <c:crossAx val="147100032"/>
        <c:crosses val="autoZero"/>
        <c:auto val="1"/>
        <c:lblAlgn val="ctr"/>
        <c:lblOffset val="100"/>
      </c:catAx>
      <c:valAx>
        <c:axId val="147100032"/>
        <c:scaling>
          <c:orientation val="minMax"/>
        </c:scaling>
        <c:axPos val="l"/>
        <c:majorGridlines/>
        <c:numFmt formatCode="_-* #,##0.00\ [$kn-41A]_-;\-* #,##0.00\ [$kn-41A]_-;_-* &quot;-&quot;??\ [$kn-41A]_-;_-@_-" sourceLinked="1"/>
        <c:majorTickMark val="none"/>
        <c:tickLblPos val="nextTo"/>
        <c:crossAx val="14709004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121" l="0.70000000000000062" r="0.70000000000000062" t="0.750000000000012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style val="8"/>
  <c:chart>
    <c:title>
      <c:tx>
        <c:rich>
          <a:bodyPr/>
          <a:lstStyle/>
          <a:p>
            <a:pPr>
              <a:defRPr/>
            </a:pPr>
            <a:r>
              <a:rPr lang="hr-HR"/>
              <a:t>UTROŠAK</a:t>
            </a:r>
            <a:r>
              <a:rPr lang="en-US"/>
              <a:t> </a:t>
            </a:r>
            <a:r>
              <a:rPr lang="hr-HR"/>
              <a:t>PLINA</a:t>
            </a:r>
            <a:r>
              <a:rPr lang="en-US"/>
              <a:t> U </a:t>
            </a:r>
            <a:r>
              <a:rPr lang="hr-HR">
                <a:solidFill>
                  <a:srgbClr val="FF0000"/>
                </a:solidFill>
              </a:rPr>
              <a:t>KG</a:t>
            </a:r>
            <a:r>
              <a:rPr lang="en-US"/>
              <a:t> </a:t>
            </a:r>
            <a:endParaRPr lang="hr-HR"/>
          </a:p>
          <a:p>
            <a:pPr>
              <a:defRPr/>
            </a:pPr>
            <a:r>
              <a:rPr lang="en-US"/>
              <a:t>20</a:t>
            </a:r>
            <a:r>
              <a:rPr lang="hr-HR"/>
              <a:t>21</a:t>
            </a:r>
            <a:r>
              <a:rPr lang="en-US"/>
              <a:t>.</a:t>
            </a:r>
            <a:r>
              <a:rPr lang="hr-HR"/>
              <a:t>/</a:t>
            </a:r>
            <a:r>
              <a:rPr lang="en-US"/>
              <a:t>20</a:t>
            </a:r>
            <a:r>
              <a:rPr lang="hr-HR"/>
              <a:t>22</a:t>
            </a:r>
            <a:r>
              <a:rPr lang="en-US"/>
              <a:t>. GODINA</a:t>
            </a:r>
          </a:p>
        </c:rich>
      </c:tx>
    </c:title>
    <c:view3D>
      <c:rAngAx val="1"/>
    </c:view3D>
    <c:plotArea>
      <c:layout>
        <c:manualLayout>
          <c:layoutTarget val="inner"/>
          <c:xMode val="edge"/>
          <c:yMode val="edge"/>
          <c:x val="0.15572801877231868"/>
          <c:y val="0.1698708971341682"/>
          <c:w val="0.83615180258375221"/>
          <c:h val="0.7029028290282906"/>
        </c:manualLayout>
      </c:layout>
      <c:bar3DChart>
        <c:barDir val="col"/>
        <c:grouping val="clustered"/>
        <c:ser>
          <c:idx val="0"/>
          <c:order val="0"/>
          <c:tx>
            <c:v>2021. GODINA</c:v>
          </c:tx>
          <c:val>
            <c:numRef>
              <c:f>'tab 9-plin'!$B$7:$B$18</c:f>
              <c:numCache>
                <c:formatCode>#,##0.00</c:formatCode>
                <c:ptCount val="12"/>
                <c:pt idx="0">
                  <c:v>0</c:v>
                </c:pt>
                <c:pt idx="1">
                  <c:v>1502</c:v>
                </c:pt>
                <c:pt idx="2">
                  <c:v>0</c:v>
                </c:pt>
                <c:pt idx="3">
                  <c:v>1301</c:v>
                </c:pt>
                <c:pt idx="4">
                  <c:v>1600</c:v>
                </c:pt>
                <c:pt idx="5">
                  <c:v>0</c:v>
                </c:pt>
                <c:pt idx="6">
                  <c:v>1600</c:v>
                </c:pt>
                <c:pt idx="7">
                  <c:v>0</c:v>
                </c:pt>
                <c:pt idx="8">
                  <c:v>1602</c:v>
                </c:pt>
                <c:pt idx="9">
                  <c:v>1600</c:v>
                </c:pt>
                <c:pt idx="10">
                  <c:v>0</c:v>
                </c:pt>
                <c:pt idx="11">
                  <c:v>2000</c:v>
                </c:pt>
              </c:numCache>
            </c:numRef>
          </c:val>
        </c:ser>
        <c:ser>
          <c:idx val="1"/>
          <c:order val="1"/>
          <c:tx>
            <c:v>2022. GODINA</c:v>
          </c:tx>
          <c:val>
            <c:numRef>
              <c:f>'tab 9-plin'!$D$7:$D$18</c:f>
              <c:numCache>
                <c:formatCode>#,##0.00</c:formatCode>
                <c:ptCount val="12"/>
                <c:pt idx="0">
                  <c:v>0</c:v>
                </c:pt>
                <c:pt idx="1">
                  <c:v>2000</c:v>
                </c:pt>
                <c:pt idx="2">
                  <c:v>1500</c:v>
                </c:pt>
                <c:pt idx="3">
                  <c:v>0</c:v>
                </c:pt>
                <c:pt idx="4">
                  <c:v>2001</c:v>
                </c:pt>
                <c:pt idx="5">
                  <c:v>0</c:v>
                </c:pt>
                <c:pt idx="6">
                  <c:v>1221</c:v>
                </c:pt>
                <c:pt idx="7">
                  <c:v>2000</c:v>
                </c:pt>
                <c:pt idx="8">
                  <c:v>0</c:v>
                </c:pt>
                <c:pt idx="9">
                  <c:v>2000</c:v>
                </c:pt>
                <c:pt idx="10">
                  <c:v>0</c:v>
                </c:pt>
                <c:pt idx="11">
                  <c:v>2000</c:v>
                </c:pt>
              </c:numCache>
            </c:numRef>
          </c:val>
        </c:ser>
        <c:shape val="box"/>
        <c:axId val="147125760"/>
        <c:axId val="147127296"/>
        <c:axId val="0"/>
      </c:bar3DChart>
      <c:catAx>
        <c:axId val="147125760"/>
        <c:scaling>
          <c:orientation val="minMax"/>
        </c:scaling>
        <c:axPos val="b"/>
        <c:majorTickMark val="none"/>
        <c:tickLblPos val="nextTo"/>
        <c:crossAx val="147127296"/>
        <c:crosses val="autoZero"/>
        <c:auto val="1"/>
        <c:lblAlgn val="ctr"/>
        <c:lblOffset val="100"/>
      </c:catAx>
      <c:valAx>
        <c:axId val="14712729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 i="1"/>
                </a:pPr>
                <a:r>
                  <a:rPr lang="en-US" i="1"/>
                  <a:t>KILOGRAMA</a:t>
                </a:r>
              </a:p>
            </c:rich>
          </c:tx>
        </c:title>
        <c:numFmt formatCode="#,##0.00" sourceLinked="1"/>
        <c:majorTickMark val="none"/>
        <c:tickLblPos val="nextTo"/>
        <c:crossAx val="14712576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1199" l="0.70000000000000062" r="0.70000000000000062" t="0.750000000000011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style val="8"/>
  <c:chart>
    <c:title>
      <c:tx>
        <c:rich>
          <a:bodyPr/>
          <a:lstStyle/>
          <a:p>
            <a:pPr>
              <a:defRPr/>
            </a:pPr>
            <a:r>
              <a:rPr lang="hr-HR"/>
              <a:t>UTROŠAK</a:t>
            </a:r>
            <a:r>
              <a:rPr lang="en-US"/>
              <a:t> </a:t>
            </a:r>
            <a:r>
              <a:rPr lang="hr-HR"/>
              <a:t>PLINA </a:t>
            </a:r>
            <a:r>
              <a:rPr lang="en-US"/>
              <a:t>U </a:t>
            </a:r>
            <a:r>
              <a:rPr lang="en-US">
                <a:solidFill>
                  <a:srgbClr val="FF0000"/>
                </a:solidFill>
              </a:rPr>
              <a:t>KUNAMA</a:t>
            </a:r>
            <a:r>
              <a:rPr lang="en-US"/>
              <a:t> </a:t>
            </a:r>
            <a:endParaRPr lang="hr-HR"/>
          </a:p>
          <a:p>
            <a:pPr>
              <a:defRPr/>
            </a:pPr>
            <a:r>
              <a:rPr lang="en-US"/>
              <a:t>20</a:t>
            </a:r>
            <a:r>
              <a:rPr lang="hr-HR"/>
              <a:t>21</a:t>
            </a:r>
            <a:r>
              <a:rPr lang="en-US"/>
              <a:t>./20</a:t>
            </a:r>
            <a:r>
              <a:rPr lang="hr-HR"/>
              <a:t>22</a:t>
            </a:r>
            <a:r>
              <a:rPr lang="en-US"/>
              <a:t>. GODINA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v>2021. GODINA</c:v>
          </c:tx>
          <c:val>
            <c:numRef>
              <c:f>'tab 9-plin'!$C$7:$C$18</c:f>
              <c:numCache>
                <c:formatCode>#,##0.00</c:formatCode>
                <c:ptCount val="12"/>
                <c:pt idx="0">
                  <c:v>0</c:v>
                </c:pt>
                <c:pt idx="1">
                  <c:v>12034.78</c:v>
                </c:pt>
                <c:pt idx="2">
                  <c:v>0</c:v>
                </c:pt>
                <c:pt idx="3">
                  <c:v>9936.39</c:v>
                </c:pt>
                <c:pt idx="4">
                  <c:v>11640</c:v>
                </c:pt>
                <c:pt idx="5">
                  <c:v>0</c:v>
                </c:pt>
                <c:pt idx="6">
                  <c:v>13460</c:v>
                </c:pt>
                <c:pt idx="7">
                  <c:v>0</c:v>
                </c:pt>
                <c:pt idx="8">
                  <c:v>13737.15</c:v>
                </c:pt>
                <c:pt idx="9">
                  <c:v>16300</c:v>
                </c:pt>
                <c:pt idx="10">
                  <c:v>0</c:v>
                </c:pt>
                <c:pt idx="11">
                  <c:v>19125</c:v>
                </c:pt>
              </c:numCache>
            </c:numRef>
          </c:val>
        </c:ser>
        <c:ser>
          <c:idx val="1"/>
          <c:order val="1"/>
          <c:tx>
            <c:v>2022. GODINA</c:v>
          </c:tx>
          <c:val>
            <c:numRef>
              <c:f>'tab 9-plin'!$E$7:$E$18</c:f>
              <c:numCache>
                <c:formatCode>#,##0.00</c:formatCode>
                <c:ptCount val="12"/>
                <c:pt idx="0">
                  <c:v>0</c:v>
                </c:pt>
                <c:pt idx="1">
                  <c:v>21150</c:v>
                </c:pt>
                <c:pt idx="2">
                  <c:v>16631.25</c:v>
                </c:pt>
                <c:pt idx="3">
                  <c:v>0</c:v>
                </c:pt>
                <c:pt idx="4">
                  <c:v>24787.39</c:v>
                </c:pt>
                <c:pt idx="5">
                  <c:v>0</c:v>
                </c:pt>
                <c:pt idx="6">
                  <c:v>14896.2</c:v>
                </c:pt>
                <c:pt idx="7">
                  <c:v>23000</c:v>
                </c:pt>
                <c:pt idx="8">
                  <c:v>0</c:v>
                </c:pt>
                <c:pt idx="9">
                  <c:v>21225</c:v>
                </c:pt>
                <c:pt idx="10">
                  <c:v>0</c:v>
                </c:pt>
                <c:pt idx="11">
                  <c:v>20140</c:v>
                </c:pt>
              </c:numCache>
            </c:numRef>
          </c:val>
        </c:ser>
        <c:axId val="147059840"/>
        <c:axId val="147061376"/>
      </c:barChart>
      <c:catAx>
        <c:axId val="147059840"/>
        <c:scaling>
          <c:orientation val="minMax"/>
        </c:scaling>
        <c:axPos val="b"/>
        <c:majorTickMark val="none"/>
        <c:tickLblPos val="nextTo"/>
        <c:crossAx val="147061376"/>
        <c:crosses val="autoZero"/>
        <c:auto val="1"/>
        <c:lblAlgn val="ctr"/>
        <c:lblOffset val="100"/>
      </c:catAx>
      <c:valAx>
        <c:axId val="147061376"/>
        <c:scaling>
          <c:orientation val="minMax"/>
        </c:scaling>
        <c:axPos val="l"/>
        <c:majorGridlines/>
        <c:numFmt formatCode="#,##0.00" sourceLinked="1"/>
        <c:majorTickMark val="none"/>
        <c:tickLblPos val="nextTo"/>
        <c:crossAx val="14705984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1188" l="0.70000000000000062" r="0.70000000000000062" t="0.7500000000000118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style val="7"/>
  <c:chart>
    <c:title>
      <c:tx>
        <c:rich>
          <a:bodyPr/>
          <a:lstStyle/>
          <a:p>
            <a:pPr>
              <a:defRPr/>
            </a:pPr>
            <a:r>
              <a:rPr lang="hr-HR"/>
              <a:t>UTROŠAK</a:t>
            </a:r>
            <a:r>
              <a:rPr lang="en-US"/>
              <a:t> </a:t>
            </a:r>
            <a:r>
              <a:rPr lang="hr-HR"/>
              <a:t> VODE U </a:t>
            </a:r>
            <a:r>
              <a:rPr lang="hr-HR">
                <a:solidFill>
                  <a:srgbClr val="FF0000"/>
                </a:solidFill>
              </a:rPr>
              <a:t>m3</a:t>
            </a:r>
            <a:r>
              <a:rPr lang="hr-HR"/>
              <a:t> </a:t>
            </a:r>
            <a:r>
              <a:rPr lang="en-US"/>
              <a:t> </a:t>
            </a:r>
            <a:endParaRPr lang="hr-HR"/>
          </a:p>
          <a:p>
            <a:pPr>
              <a:defRPr/>
            </a:pPr>
            <a:r>
              <a:rPr lang="en-US"/>
              <a:t>20</a:t>
            </a:r>
            <a:r>
              <a:rPr lang="hr-HR"/>
              <a:t>21</a:t>
            </a:r>
            <a:r>
              <a:rPr lang="en-US"/>
              <a:t>.</a:t>
            </a:r>
            <a:r>
              <a:rPr lang="hr-HR"/>
              <a:t>/</a:t>
            </a:r>
            <a:r>
              <a:rPr lang="en-US"/>
              <a:t>20</a:t>
            </a:r>
            <a:r>
              <a:rPr lang="hr-HR"/>
              <a:t>22</a:t>
            </a:r>
            <a:r>
              <a:rPr lang="en-US"/>
              <a:t>. GODINA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2021. GODINA</c:v>
          </c:tx>
          <c:val>
            <c:numRef>
              <c:f>'tab 10-voda'!$B$7:$B$18</c:f>
              <c:numCache>
                <c:formatCode>#,##0</c:formatCode>
                <c:ptCount val="12"/>
                <c:pt idx="0">
                  <c:v>539</c:v>
                </c:pt>
                <c:pt idx="1">
                  <c:v>913</c:v>
                </c:pt>
                <c:pt idx="2">
                  <c:v>1730</c:v>
                </c:pt>
                <c:pt idx="3">
                  <c:v>1259</c:v>
                </c:pt>
                <c:pt idx="4">
                  <c:v>1313</c:v>
                </c:pt>
                <c:pt idx="5">
                  <c:v>1380</c:v>
                </c:pt>
                <c:pt idx="6">
                  <c:v>1551</c:v>
                </c:pt>
                <c:pt idx="7">
                  <c:v>1503</c:v>
                </c:pt>
                <c:pt idx="8">
                  <c:v>1426</c:v>
                </c:pt>
                <c:pt idx="9">
                  <c:v>1321</c:v>
                </c:pt>
                <c:pt idx="10">
                  <c:v>1215</c:v>
                </c:pt>
                <c:pt idx="11">
                  <c:v>1200</c:v>
                </c:pt>
              </c:numCache>
            </c:numRef>
          </c:val>
        </c:ser>
        <c:ser>
          <c:idx val="1"/>
          <c:order val="1"/>
          <c:tx>
            <c:v>2022. GODINA</c:v>
          </c:tx>
          <c:val>
            <c:numRef>
              <c:f>'tab 10-voda'!$D$7:$D$18</c:f>
              <c:numCache>
                <c:formatCode>#,##0</c:formatCode>
                <c:ptCount val="12"/>
                <c:pt idx="0">
                  <c:v>1031</c:v>
                </c:pt>
                <c:pt idx="1">
                  <c:v>1401</c:v>
                </c:pt>
                <c:pt idx="2">
                  <c:v>1428</c:v>
                </c:pt>
                <c:pt idx="3">
                  <c:v>1451</c:v>
                </c:pt>
                <c:pt idx="4">
                  <c:v>1516</c:v>
                </c:pt>
                <c:pt idx="5">
                  <c:v>1695</c:v>
                </c:pt>
                <c:pt idx="6">
                  <c:v>1565</c:v>
                </c:pt>
                <c:pt idx="7">
                  <c:v>1526</c:v>
                </c:pt>
                <c:pt idx="8">
                  <c:v>1447</c:v>
                </c:pt>
                <c:pt idx="9">
                  <c:v>1302</c:v>
                </c:pt>
                <c:pt idx="10">
                  <c:v>1418</c:v>
                </c:pt>
                <c:pt idx="11">
                  <c:v>1241</c:v>
                </c:pt>
              </c:numCache>
            </c:numRef>
          </c:val>
        </c:ser>
        <c:shape val="box"/>
        <c:axId val="147275776"/>
        <c:axId val="147277312"/>
        <c:axId val="0"/>
      </c:bar3DChart>
      <c:catAx>
        <c:axId val="147275776"/>
        <c:scaling>
          <c:orientation val="minMax"/>
        </c:scaling>
        <c:axPos val="b"/>
        <c:majorTickMark val="none"/>
        <c:tickLblPos val="nextTo"/>
        <c:crossAx val="147277312"/>
        <c:crosses val="autoZero"/>
        <c:auto val="1"/>
        <c:lblAlgn val="ctr"/>
        <c:lblOffset val="100"/>
      </c:catAx>
      <c:valAx>
        <c:axId val="14727731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 i="1"/>
                </a:pPr>
                <a:r>
                  <a:rPr lang="en-US" i="1"/>
                  <a:t>m3</a:t>
                </a:r>
              </a:p>
            </c:rich>
          </c:tx>
        </c:title>
        <c:numFmt formatCode="#,##0" sourceLinked="1"/>
        <c:majorTickMark val="none"/>
        <c:tickLblPos val="nextTo"/>
        <c:crossAx val="14727577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0</xdr:row>
      <xdr:rowOff>0</xdr:rowOff>
    </xdr:from>
    <xdr:ext cx="184731" cy="264560"/>
    <xdr:sp macro="" textlink="">
      <xdr:nvSpPr>
        <xdr:cNvPr id="2" name="TekstniOkvir 1"/>
        <xdr:cNvSpPr txBox="1"/>
      </xdr:nvSpPr>
      <xdr:spPr>
        <a:xfrm>
          <a:off x="111823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13</xdr:col>
      <xdr:colOff>0</xdr:colOff>
      <xdr:row>0</xdr:row>
      <xdr:rowOff>0</xdr:rowOff>
    </xdr:from>
    <xdr:ext cx="184731" cy="264560"/>
    <xdr:sp macro="" textlink="">
      <xdr:nvSpPr>
        <xdr:cNvPr id="3" name="TekstniOkvir 2"/>
        <xdr:cNvSpPr txBox="1"/>
      </xdr:nvSpPr>
      <xdr:spPr>
        <a:xfrm>
          <a:off x="111823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13</xdr:col>
      <xdr:colOff>0</xdr:colOff>
      <xdr:row>1</xdr:row>
      <xdr:rowOff>0</xdr:rowOff>
    </xdr:from>
    <xdr:ext cx="184731" cy="264560"/>
    <xdr:sp macro="" textlink="">
      <xdr:nvSpPr>
        <xdr:cNvPr id="4" name="TekstniOkvir 3"/>
        <xdr:cNvSpPr txBox="1"/>
      </xdr:nvSpPr>
      <xdr:spPr>
        <a:xfrm>
          <a:off x="11182350" y="20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13</xdr:col>
      <xdr:colOff>0</xdr:colOff>
      <xdr:row>1</xdr:row>
      <xdr:rowOff>161925</xdr:rowOff>
    </xdr:from>
    <xdr:ext cx="184731" cy="264560"/>
    <xdr:sp macro="" textlink="">
      <xdr:nvSpPr>
        <xdr:cNvPr id="5" name="TekstniOkvir 4"/>
        <xdr:cNvSpPr txBox="1"/>
      </xdr:nvSpPr>
      <xdr:spPr>
        <a:xfrm>
          <a:off x="11182350" y="37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552450</xdr:colOff>
      <xdr:row>27</xdr:row>
      <xdr:rowOff>0</xdr:rowOff>
    </xdr:from>
    <xdr:ext cx="184731" cy="264560"/>
    <xdr:sp macro="" textlink="">
      <xdr:nvSpPr>
        <xdr:cNvPr id="2" name="TekstniOkvir 1"/>
        <xdr:cNvSpPr txBox="1"/>
      </xdr:nvSpPr>
      <xdr:spPr>
        <a:xfrm>
          <a:off x="9324975" y="555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371475</xdr:colOff>
      <xdr:row>27</xdr:row>
      <xdr:rowOff>38100</xdr:rowOff>
    </xdr:from>
    <xdr:ext cx="184731" cy="264560"/>
    <xdr:sp macro="" textlink="">
      <xdr:nvSpPr>
        <xdr:cNvPr id="3" name="TekstniOkvir 2"/>
        <xdr:cNvSpPr txBox="1"/>
      </xdr:nvSpPr>
      <xdr:spPr>
        <a:xfrm>
          <a:off x="6467475" y="555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371475</xdr:colOff>
      <xdr:row>32</xdr:row>
      <xdr:rowOff>38100</xdr:rowOff>
    </xdr:from>
    <xdr:ext cx="184731" cy="264560"/>
    <xdr:sp macro="" textlink="">
      <xdr:nvSpPr>
        <xdr:cNvPr id="4" name="TekstniOkvir 3"/>
        <xdr:cNvSpPr txBox="1"/>
      </xdr:nvSpPr>
      <xdr:spPr>
        <a:xfrm>
          <a:off x="6467475" y="555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21</xdr:col>
      <xdr:colOff>371475</xdr:colOff>
      <xdr:row>0</xdr:row>
      <xdr:rowOff>38100</xdr:rowOff>
    </xdr:from>
    <xdr:ext cx="184731" cy="264560"/>
    <xdr:sp macro="" textlink="">
      <xdr:nvSpPr>
        <xdr:cNvPr id="5" name="TekstniOkvir 4"/>
        <xdr:cNvSpPr txBox="1"/>
      </xdr:nvSpPr>
      <xdr:spPr>
        <a:xfrm>
          <a:off x="19592925" y="3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21</xdr:col>
      <xdr:colOff>371475</xdr:colOff>
      <xdr:row>0</xdr:row>
      <xdr:rowOff>38100</xdr:rowOff>
    </xdr:from>
    <xdr:ext cx="184731" cy="264560"/>
    <xdr:sp macro="" textlink="">
      <xdr:nvSpPr>
        <xdr:cNvPr id="6" name="TekstniOkvir 5"/>
        <xdr:cNvSpPr txBox="1"/>
      </xdr:nvSpPr>
      <xdr:spPr>
        <a:xfrm>
          <a:off x="19592925" y="3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552450</xdr:colOff>
      <xdr:row>27</xdr:row>
      <xdr:rowOff>0</xdr:rowOff>
    </xdr:from>
    <xdr:ext cx="184731" cy="264560"/>
    <xdr:sp macro="" textlink="">
      <xdr:nvSpPr>
        <xdr:cNvPr id="7" name="TekstniOkvir 6"/>
        <xdr:cNvSpPr txBox="1"/>
      </xdr:nvSpPr>
      <xdr:spPr>
        <a:xfrm>
          <a:off x="3419475" y="555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552450</xdr:colOff>
      <xdr:row>27</xdr:row>
      <xdr:rowOff>0</xdr:rowOff>
    </xdr:from>
    <xdr:ext cx="184731" cy="264560"/>
    <xdr:sp macro="" textlink="">
      <xdr:nvSpPr>
        <xdr:cNvPr id="8" name="TekstniOkvir 7"/>
        <xdr:cNvSpPr txBox="1"/>
      </xdr:nvSpPr>
      <xdr:spPr>
        <a:xfrm>
          <a:off x="1304925" y="555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552450</xdr:colOff>
      <xdr:row>28</xdr:row>
      <xdr:rowOff>0</xdr:rowOff>
    </xdr:from>
    <xdr:ext cx="184731" cy="264560"/>
    <xdr:sp macro="" textlink="">
      <xdr:nvSpPr>
        <xdr:cNvPr id="9" name="TekstniOkvir 8"/>
        <xdr:cNvSpPr txBox="1"/>
      </xdr:nvSpPr>
      <xdr:spPr>
        <a:xfrm>
          <a:off x="9324975" y="555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34</xdr:row>
      <xdr:rowOff>19050</xdr:rowOff>
    </xdr:from>
    <xdr:to>
      <xdr:col>12</xdr:col>
      <xdr:colOff>714375</xdr:colOff>
      <xdr:row>65</xdr:row>
      <xdr:rowOff>0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26</xdr:row>
      <xdr:rowOff>133351</xdr:rowOff>
    </xdr:from>
    <xdr:to>
      <xdr:col>5</xdr:col>
      <xdr:colOff>314324</xdr:colOff>
      <xdr:row>45</xdr:row>
      <xdr:rowOff>152400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56</xdr:row>
      <xdr:rowOff>180975</xdr:rowOff>
    </xdr:from>
    <xdr:to>
      <xdr:col>6</xdr:col>
      <xdr:colOff>571500</xdr:colOff>
      <xdr:row>80</xdr:row>
      <xdr:rowOff>38099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533401</xdr:colOff>
      <xdr:row>84</xdr:row>
      <xdr:rowOff>66674</xdr:rowOff>
    </xdr:from>
    <xdr:to>
      <xdr:col>6</xdr:col>
      <xdr:colOff>581026</xdr:colOff>
      <xdr:row>108</xdr:row>
      <xdr:rowOff>152399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609602</xdr:colOff>
      <xdr:row>56</xdr:row>
      <xdr:rowOff>95249</xdr:rowOff>
    </xdr:from>
    <xdr:to>
      <xdr:col>6</xdr:col>
      <xdr:colOff>361951</xdr:colOff>
      <xdr:row>79</xdr:row>
      <xdr:rowOff>28574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542925</xdr:colOff>
      <xdr:row>83</xdr:row>
      <xdr:rowOff>161925</xdr:rowOff>
    </xdr:from>
    <xdr:to>
      <xdr:col>6</xdr:col>
      <xdr:colOff>314325</xdr:colOff>
      <xdr:row>110</xdr:row>
      <xdr:rowOff>95250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57</xdr:row>
      <xdr:rowOff>85725</xdr:rowOff>
    </xdr:from>
    <xdr:to>
      <xdr:col>6</xdr:col>
      <xdr:colOff>333375</xdr:colOff>
      <xdr:row>82</xdr:row>
      <xdr:rowOff>85725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447676</xdr:colOff>
      <xdr:row>88</xdr:row>
      <xdr:rowOff>0</xdr:rowOff>
    </xdr:from>
    <xdr:to>
      <xdr:col>6</xdr:col>
      <xdr:colOff>285751</xdr:colOff>
      <xdr:row>110</xdr:row>
      <xdr:rowOff>85725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58</xdr:row>
      <xdr:rowOff>9526</xdr:rowOff>
    </xdr:from>
    <xdr:to>
      <xdr:col>6</xdr:col>
      <xdr:colOff>542925</xdr:colOff>
      <xdr:row>82</xdr:row>
      <xdr:rowOff>95250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361951</xdr:colOff>
      <xdr:row>89</xdr:row>
      <xdr:rowOff>104776</xdr:rowOff>
    </xdr:from>
    <xdr:to>
      <xdr:col>6</xdr:col>
      <xdr:colOff>600076</xdr:colOff>
      <xdr:row>112</xdr:row>
      <xdr:rowOff>0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26</xdr:row>
      <xdr:rowOff>85726</xdr:rowOff>
    </xdr:from>
    <xdr:to>
      <xdr:col>9</xdr:col>
      <xdr:colOff>228600</xdr:colOff>
      <xdr:row>52</xdr:row>
      <xdr:rowOff>19050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samsa/Documents/IZVR&#352;ENJEEEEEEEE%20I%20FINANCIJSKI%20PLANOVI/2022/2022%20IZVR&#352;ENJE/IZVR&#352;ENJE%2012-2022-REBALANS%204%20S%20PRERASPODJELO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samsa/Documents/ENERGENTI/2022/ENERGENTI%202021-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ASHODI"/>
      <sheetName val="PRIHODI  "/>
      <sheetName val="SIMULACIJA"/>
    </sheetNames>
    <sheetDataSet>
      <sheetData sheetId="0">
        <row r="80">
          <cell r="D80">
            <v>85114512.5</v>
          </cell>
          <cell r="E80">
            <v>80633751.840000004</v>
          </cell>
          <cell r="F80">
            <v>-4480760.6599999983</v>
          </cell>
        </row>
      </sheetData>
      <sheetData sheetId="1">
        <row r="24">
          <cell r="K24">
            <v>85315548.00999999</v>
          </cell>
          <cell r="L24">
            <v>83270179.000000015</v>
          </cell>
          <cell r="M24">
            <v>-2045369.0099999974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VODA - UKUPNO"/>
      <sheetName val="VODA - WELLNESS I OSTALI OBJEKT"/>
      <sheetName val="ELEKTRIČNA ENERGIJA"/>
      <sheetName val="PLIN"/>
      <sheetName val="NAFTA"/>
      <sheetName val="svi energenti 21-22"/>
      <sheetName val="svi energenti 20-21"/>
      <sheetName val="svi energenti 19-20"/>
    </sheetNames>
    <sheetDataSet>
      <sheetData sheetId="0"/>
      <sheetData sheetId="1">
        <row r="9">
          <cell r="F9">
            <v>539</v>
          </cell>
          <cell r="G9">
            <v>21202</v>
          </cell>
          <cell r="L9">
            <v>1031</v>
          </cell>
          <cell r="M9">
            <v>35562.43</v>
          </cell>
        </row>
        <row r="10">
          <cell r="F10">
            <v>913</v>
          </cell>
          <cell r="G10">
            <v>30879.58</v>
          </cell>
          <cell r="L10">
            <v>1401</v>
          </cell>
          <cell r="M10">
            <v>44162.57</v>
          </cell>
        </row>
        <row r="11">
          <cell r="F11">
            <v>1730</v>
          </cell>
          <cell r="G11">
            <v>50768.82</v>
          </cell>
          <cell r="L11">
            <v>1428</v>
          </cell>
          <cell r="M11">
            <v>44831.149999999994</v>
          </cell>
        </row>
        <row r="12">
          <cell r="F12">
            <v>1259</v>
          </cell>
          <cell r="G12">
            <v>39068.71</v>
          </cell>
          <cell r="L12">
            <v>1451</v>
          </cell>
          <cell r="M12">
            <v>45962.6</v>
          </cell>
        </row>
        <row r="13">
          <cell r="F13">
            <v>1313</v>
          </cell>
          <cell r="G13">
            <v>41650.659999999996</v>
          </cell>
          <cell r="L13">
            <v>1516</v>
          </cell>
          <cell r="M13">
            <v>47010.23</v>
          </cell>
        </row>
        <row r="14">
          <cell r="F14">
            <v>1380</v>
          </cell>
          <cell r="G14">
            <v>43554.25</v>
          </cell>
          <cell r="L14">
            <v>1695</v>
          </cell>
          <cell r="M14">
            <v>52248.86</v>
          </cell>
        </row>
        <row r="15">
          <cell r="F15">
            <v>1551</v>
          </cell>
          <cell r="G15">
            <v>47339.18</v>
          </cell>
          <cell r="L15">
            <v>1565</v>
          </cell>
          <cell r="M15">
            <v>48785.509999999995</v>
          </cell>
        </row>
        <row r="16">
          <cell r="F16">
            <v>1503</v>
          </cell>
          <cell r="G16">
            <v>46817.54</v>
          </cell>
          <cell r="L16">
            <v>1526</v>
          </cell>
          <cell r="M16">
            <v>47174.18</v>
          </cell>
        </row>
        <row r="17">
          <cell r="F17">
            <v>1426</v>
          </cell>
          <cell r="G17">
            <v>45086.61</v>
          </cell>
          <cell r="L17">
            <v>1447</v>
          </cell>
          <cell r="M17">
            <v>45898.17</v>
          </cell>
        </row>
        <row r="18">
          <cell r="F18">
            <v>1321</v>
          </cell>
          <cell r="G18">
            <v>42088.32</v>
          </cell>
          <cell r="L18">
            <v>1302</v>
          </cell>
          <cell r="M18">
            <v>41471.99</v>
          </cell>
        </row>
        <row r="19">
          <cell r="F19">
            <v>1215</v>
          </cell>
          <cell r="G19">
            <v>39147.07</v>
          </cell>
          <cell r="L19">
            <v>1418</v>
          </cell>
          <cell r="M19">
            <v>44984.91</v>
          </cell>
        </row>
        <row r="20">
          <cell r="F20">
            <v>1200</v>
          </cell>
          <cell r="G20">
            <v>39827.630000000005</v>
          </cell>
          <cell r="L20">
            <v>1241</v>
          </cell>
          <cell r="M20">
            <v>40200.6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5"/>
  <sheetViews>
    <sheetView tabSelected="1" workbookViewId="0">
      <selection activeCell="F38" sqref="F38"/>
    </sheetView>
  </sheetViews>
  <sheetFormatPr defaultColWidth="11.42578125" defaultRowHeight="12.75"/>
  <cols>
    <col min="1" max="1" width="18" style="676" customWidth="1"/>
    <col min="2" max="3" width="12.5703125" style="676" customWidth="1"/>
    <col min="4" max="4" width="13.28515625" style="676" customWidth="1"/>
    <col min="5" max="5" width="12.140625" style="676" bestFit="1" customWidth="1"/>
    <col min="6" max="6" width="15.42578125" style="676" customWidth="1"/>
    <col min="7" max="7" width="11.42578125" style="676" customWidth="1"/>
    <col min="8" max="8" width="11.42578125" style="768" customWidth="1"/>
    <col min="9" max="9" width="11.140625" style="680" bestFit="1" customWidth="1"/>
    <col min="10" max="10" width="8.7109375" style="680" customWidth="1"/>
    <col min="11" max="11" width="12.85546875" style="680" bestFit="1" customWidth="1"/>
    <col min="12" max="12" width="13.42578125" style="680" bestFit="1" customWidth="1"/>
    <col min="13" max="13" width="14.7109375" style="680" customWidth="1"/>
    <col min="14" max="14" width="7.85546875" style="680" bestFit="1" customWidth="1"/>
    <col min="15" max="16384" width="11.42578125" style="680"/>
  </cols>
  <sheetData>
    <row r="1" spans="1:15" ht="16.5" thickBot="1">
      <c r="A1" s="676" t="s">
        <v>282</v>
      </c>
      <c r="B1" s="668"/>
      <c r="C1" s="668"/>
      <c r="D1" s="668"/>
      <c r="E1" s="677"/>
      <c r="F1" s="677"/>
      <c r="G1" s="678"/>
      <c r="H1" s="678"/>
      <c r="I1" s="678"/>
      <c r="J1" s="679"/>
      <c r="K1" s="679"/>
      <c r="M1" s="772" t="s">
        <v>59</v>
      </c>
      <c r="N1" s="681"/>
    </row>
    <row r="2" spans="1:15" ht="16.5" customHeight="1" thickBot="1">
      <c r="A2" s="792" t="s">
        <v>429</v>
      </c>
      <c r="B2" s="793"/>
      <c r="C2" s="793"/>
      <c r="D2" s="793"/>
      <c r="E2" s="793"/>
      <c r="F2" s="793"/>
      <c r="G2" s="793"/>
      <c r="H2" s="793"/>
      <c r="I2" s="793"/>
      <c r="J2" s="793"/>
      <c r="K2" s="794"/>
      <c r="L2" s="682"/>
      <c r="M2" s="683"/>
      <c r="N2" s="683"/>
    </row>
    <row r="3" spans="1:15" ht="13.5" thickBot="1">
      <c r="A3" s="684"/>
      <c r="B3" s="684"/>
      <c r="C3" s="684"/>
      <c r="D3" s="684"/>
      <c r="E3" s="684"/>
      <c r="F3" s="685"/>
      <c r="G3" s="685"/>
      <c r="H3" s="685"/>
      <c r="I3" s="685"/>
      <c r="J3" s="685"/>
      <c r="K3" s="686" t="s">
        <v>430</v>
      </c>
      <c r="L3" s="687"/>
      <c r="M3" s="685"/>
    </row>
    <row r="4" spans="1:15" ht="26.25" customHeight="1" thickBot="1">
      <c r="A4" s="688" t="s">
        <v>431</v>
      </c>
      <c r="B4" s="795" t="s">
        <v>432</v>
      </c>
      <c r="C4" s="796"/>
      <c r="D4" s="796"/>
      <c r="E4" s="796"/>
      <c r="F4" s="796"/>
      <c r="G4" s="796"/>
      <c r="H4" s="796"/>
      <c r="I4" s="796"/>
      <c r="J4" s="796"/>
      <c r="K4" s="797"/>
      <c r="L4" s="689"/>
    </row>
    <row r="5" spans="1:15" ht="127.5" customHeight="1" thickBot="1">
      <c r="A5" s="690" t="s">
        <v>433</v>
      </c>
      <c r="B5" s="691" t="s">
        <v>434</v>
      </c>
      <c r="C5" s="692" t="s">
        <v>435</v>
      </c>
      <c r="D5" s="693" t="s">
        <v>436</v>
      </c>
      <c r="E5" s="694" t="s">
        <v>437</v>
      </c>
      <c r="F5" s="694" t="s">
        <v>438</v>
      </c>
      <c r="G5" s="694" t="s">
        <v>439</v>
      </c>
      <c r="H5" s="694" t="s">
        <v>440</v>
      </c>
      <c r="I5" s="694" t="s">
        <v>441</v>
      </c>
      <c r="J5" s="695" t="s">
        <v>442</v>
      </c>
      <c r="K5" s="696" t="s">
        <v>443</v>
      </c>
      <c r="L5" s="697" t="s">
        <v>288</v>
      </c>
      <c r="M5" s="560" t="s">
        <v>444</v>
      </c>
      <c r="N5" s="698" t="s">
        <v>290</v>
      </c>
    </row>
    <row r="6" spans="1:15" ht="25.5">
      <c r="A6" s="699" t="s">
        <v>445</v>
      </c>
      <c r="B6" s="700"/>
      <c r="C6" s="700"/>
      <c r="D6" s="701"/>
      <c r="E6" s="702"/>
      <c r="F6" s="702"/>
      <c r="G6" s="703">
        <v>480000</v>
      </c>
      <c r="H6" s="702"/>
      <c r="I6" s="702"/>
      <c r="J6" s="704"/>
      <c r="K6" s="705">
        <f t="shared" ref="K6:K21" si="0">SUM(B6:J6)</f>
        <v>480000</v>
      </c>
      <c r="L6" s="706">
        <v>451243.38</v>
      </c>
      <c r="M6" s="707">
        <f>L6-K6</f>
        <v>-28756.619999999995</v>
      </c>
      <c r="N6" s="708">
        <f>L6/K6*100</f>
        <v>94.009037500000005</v>
      </c>
      <c r="O6" s="709"/>
    </row>
    <row r="7" spans="1:15" ht="51">
      <c r="A7" s="710" t="s">
        <v>446</v>
      </c>
      <c r="B7" s="700"/>
      <c r="C7" s="700"/>
      <c r="D7" s="711"/>
      <c r="E7" s="712"/>
      <c r="F7" s="712"/>
      <c r="G7" s="713">
        <v>1000000</v>
      </c>
      <c r="H7" s="712"/>
      <c r="I7" s="712"/>
      <c r="J7" s="714"/>
      <c r="K7" s="705">
        <f t="shared" si="0"/>
        <v>1000000</v>
      </c>
      <c r="L7" s="715">
        <v>765005.73</v>
      </c>
      <c r="M7" s="707">
        <f t="shared" ref="M7:M23" si="1">L7-K7</f>
        <v>-234994.27000000002</v>
      </c>
      <c r="N7" s="708">
        <f t="shared" ref="N7:N24" si="2">L7/K7*100</f>
        <v>76.500572999999989</v>
      </c>
      <c r="O7" s="709"/>
    </row>
    <row r="8" spans="1:15">
      <c r="A8" s="716" t="s">
        <v>447</v>
      </c>
      <c r="B8" s="717"/>
      <c r="C8" s="718"/>
      <c r="D8" s="719"/>
      <c r="E8" s="720">
        <v>5000</v>
      </c>
      <c r="F8" s="713"/>
      <c r="G8" s="713"/>
      <c r="H8" s="713"/>
      <c r="I8" s="713"/>
      <c r="J8" s="721"/>
      <c r="K8" s="722">
        <f t="shared" si="0"/>
        <v>5000</v>
      </c>
      <c r="L8" s="715">
        <v>2214.5</v>
      </c>
      <c r="M8" s="707">
        <f t="shared" si="1"/>
        <v>-2785.5</v>
      </c>
      <c r="N8" s="708">
        <f t="shared" si="2"/>
        <v>44.29</v>
      </c>
      <c r="O8" s="709"/>
    </row>
    <row r="9" spans="1:15" ht="25.5">
      <c r="A9" s="716" t="s">
        <v>448</v>
      </c>
      <c r="B9" s="717"/>
      <c r="C9" s="718"/>
      <c r="D9" s="719"/>
      <c r="E9" s="720">
        <v>2000</v>
      </c>
      <c r="F9" s="713"/>
      <c r="G9" s="713"/>
      <c r="H9" s="713"/>
      <c r="I9" s="713"/>
      <c r="J9" s="721"/>
      <c r="K9" s="722">
        <f t="shared" si="0"/>
        <v>2000</v>
      </c>
      <c r="L9" s="715">
        <v>963.82</v>
      </c>
      <c r="M9" s="707">
        <f t="shared" si="1"/>
        <v>-1036.1799999999998</v>
      </c>
      <c r="N9" s="708">
        <f t="shared" si="2"/>
        <v>48.191000000000003</v>
      </c>
      <c r="O9" s="709"/>
    </row>
    <row r="10" spans="1:15" ht="25.5">
      <c r="A10" s="716" t="s">
        <v>449</v>
      </c>
      <c r="B10" s="717"/>
      <c r="C10" s="718"/>
      <c r="D10" s="719"/>
      <c r="E10" s="720">
        <v>42000</v>
      </c>
      <c r="F10" s="713"/>
      <c r="G10" s="713"/>
      <c r="H10" s="713"/>
      <c r="I10" s="713"/>
      <c r="J10" s="721"/>
      <c r="K10" s="722">
        <f t="shared" si="0"/>
        <v>42000</v>
      </c>
      <c r="L10" s="715">
        <v>26504.6</v>
      </c>
      <c r="M10" s="707">
        <f t="shared" si="1"/>
        <v>-15495.400000000001</v>
      </c>
      <c r="N10" s="708">
        <f t="shared" si="2"/>
        <v>63.10619047619047</v>
      </c>
      <c r="O10" s="709"/>
    </row>
    <row r="11" spans="1:15">
      <c r="A11" s="716" t="s">
        <v>450</v>
      </c>
      <c r="B11" s="717"/>
      <c r="C11" s="717"/>
      <c r="D11" s="723"/>
      <c r="E11" s="724"/>
      <c r="F11" s="724">
        <v>9800000</v>
      </c>
      <c r="G11" s="724"/>
      <c r="H11" s="724"/>
      <c r="I11" s="724"/>
      <c r="J11" s="725"/>
      <c r="K11" s="722">
        <f t="shared" si="0"/>
        <v>9800000</v>
      </c>
      <c r="L11" s="715">
        <f>10295934.37-L12</f>
        <v>9519739.8099999987</v>
      </c>
      <c r="M11" s="707">
        <f t="shared" si="1"/>
        <v>-280260.19000000134</v>
      </c>
      <c r="N11" s="708">
        <f t="shared" si="2"/>
        <v>97.14020214285712</v>
      </c>
      <c r="O11" s="709"/>
    </row>
    <row r="12" spans="1:15">
      <c r="A12" s="716" t="s">
        <v>451</v>
      </c>
      <c r="B12" s="717"/>
      <c r="C12" s="717"/>
      <c r="D12" s="723"/>
      <c r="E12" s="724"/>
      <c r="F12" s="724"/>
      <c r="G12" s="724"/>
      <c r="H12" s="724"/>
      <c r="I12" s="724">
        <v>1090000</v>
      </c>
      <c r="J12" s="725"/>
      <c r="K12" s="722">
        <f t="shared" si="0"/>
        <v>1090000</v>
      </c>
      <c r="L12" s="715">
        <v>776194.56000000006</v>
      </c>
      <c r="M12" s="707">
        <f t="shared" si="1"/>
        <v>-313805.43999999994</v>
      </c>
      <c r="N12" s="708">
        <f t="shared" si="2"/>
        <v>71.210510091743132</v>
      </c>
      <c r="O12" s="709"/>
    </row>
    <row r="13" spans="1:15">
      <c r="A13" s="716" t="s">
        <v>452</v>
      </c>
      <c r="B13" s="717"/>
      <c r="C13" s="717"/>
      <c r="D13" s="723"/>
      <c r="E13" s="724">
        <v>15500000</v>
      </c>
      <c r="F13" s="724"/>
      <c r="G13" s="724"/>
      <c r="H13" s="724"/>
      <c r="I13" s="724"/>
      <c r="J13" s="725"/>
      <c r="K13" s="722">
        <f t="shared" si="0"/>
        <v>15500000</v>
      </c>
      <c r="L13" s="715">
        <v>15719101.300000001</v>
      </c>
      <c r="M13" s="707">
        <f t="shared" si="1"/>
        <v>219101.30000000075</v>
      </c>
      <c r="N13" s="708">
        <f t="shared" si="2"/>
        <v>101.41355677419355</v>
      </c>
      <c r="O13" s="709"/>
    </row>
    <row r="14" spans="1:15" ht="38.25">
      <c r="A14" s="716" t="s">
        <v>453</v>
      </c>
      <c r="B14" s="717"/>
      <c r="C14" s="717"/>
      <c r="D14" s="723"/>
      <c r="E14" s="724"/>
      <c r="F14" s="724"/>
      <c r="G14" s="724"/>
      <c r="H14" s="724">
        <v>300000</v>
      </c>
      <c r="I14" s="724"/>
      <c r="J14" s="725"/>
      <c r="K14" s="722">
        <f t="shared" si="0"/>
        <v>300000</v>
      </c>
      <c r="L14" s="715">
        <v>300000</v>
      </c>
      <c r="M14" s="707">
        <f t="shared" si="1"/>
        <v>0</v>
      </c>
      <c r="N14" s="708">
        <f t="shared" si="2"/>
        <v>100</v>
      </c>
      <c r="O14" s="709"/>
    </row>
    <row r="15" spans="1:15" ht="25.5">
      <c r="A15" s="716" t="s">
        <v>454</v>
      </c>
      <c r="B15" s="717"/>
      <c r="C15" s="717"/>
      <c r="D15" s="723"/>
      <c r="E15" s="724"/>
      <c r="F15" s="724"/>
      <c r="G15" s="724"/>
      <c r="H15" s="724">
        <v>450000</v>
      </c>
      <c r="I15" s="724"/>
      <c r="J15" s="725"/>
      <c r="K15" s="722">
        <f t="shared" ref="K15" si="3">SUM(B15:J15)</f>
        <v>450000</v>
      </c>
      <c r="L15" s="715">
        <v>231442.5</v>
      </c>
      <c r="M15" s="707">
        <f t="shared" si="1"/>
        <v>-218557.5</v>
      </c>
      <c r="N15" s="708">
        <f t="shared" si="2"/>
        <v>51.431666666666665</v>
      </c>
      <c r="O15" s="709"/>
    </row>
    <row r="16" spans="1:15" ht="25.5">
      <c r="A16" s="716" t="s">
        <v>455</v>
      </c>
      <c r="B16" s="717"/>
      <c r="C16" s="717"/>
      <c r="D16" s="723"/>
      <c r="E16" s="724"/>
      <c r="F16" s="724"/>
      <c r="G16" s="724"/>
      <c r="H16" s="724">
        <v>50000</v>
      </c>
      <c r="I16" s="724"/>
      <c r="J16" s="725"/>
      <c r="K16" s="722">
        <f t="shared" si="0"/>
        <v>50000</v>
      </c>
      <c r="L16" s="715">
        <v>11875</v>
      </c>
      <c r="M16" s="707">
        <f t="shared" si="1"/>
        <v>-38125</v>
      </c>
      <c r="N16" s="708">
        <f t="shared" si="2"/>
        <v>23.75</v>
      </c>
      <c r="O16" s="709"/>
    </row>
    <row r="17" spans="1:15" ht="25.5">
      <c r="A17" s="716" t="s">
        <v>456</v>
      </c>
      <c r="B17" s="726">
        <f>990000+936487.5</f>
        <v>1926487.5</v>
      </c>
      <c r="C17" s="727">
        <v>990000</v>
      </c>
      <c r="D17" s="723"/>
      <c r="E17" s="724"/>
      <c r="F17" s="724"/>
      <c r="G17" s="724"/>
      <c r="H17" s="724"/>
      <c r="I17" s="724"/>
      <c r="J17" s="725"/>
      <c r="K17" s="722">
        <f t="shared" si="0"/>
        <v>2916487.5</v>
      </c>
      <c r="L17" s="715">
        <v>2890695.99</v>
      </c>
      <c r="M17" s="707">
        <f t="shared" si="1"/>
        <v>-25791.509999999776</v>
      </c>
      <c r="N17" s="708">
        <f t="shared" si="2"/>
        <v>99.115665333727648</v>
      </c>
      <c r="O17" s="709"/>
    </row>
    <row r="18" spans="1:15" ht="25.5">
      <c r="A18" s="716" t="s">
        <v>457</v>
      </c>
      <c r="B18" s="726">
        <f>1129750-207487.5</f>
        <v>922262.5</v>
      </c>
      <c r="C18" s="727"/>
      <c r="D18" s="723">
        <v>3200250</v>
      </c>
      <c r="E18" s="724"/>
      <c r="F18" s="724"/>
      <c r="G18" s="724"/>
      <c r="H18" s="724"/>
      <c r="I18" s="724"/>
      <c r="J18" s="725"/>
      <c r="K18" s="722">
        <f>SUM(B18:J18)</f>
        <v>4122512.5</v>
      </c>
      <c r="L18" s="715">
        <v>3400224.1</v>
      </c>
      <c r="M18" s="707">
        <f t="shared" si="1"/>
        <v>-722288.39999999991</v>
      </c>
      <c r="N18" s="708">
        <f t="shared" si="2"/>
        <v>82.479412736771579</v>
      </c>
      <c r="O18" s="709"/>
    </row>
    <row r="19" spans="1:15" ht="51">
      <c r="A19" s="716" t="s">
        <v>458</v>
      </c>
      <c r="B19" s="727"/>
      <c r="C19" s="727"/>
      <c r="D19" s="723">
        <v>1049750</v>
      </c>
      <c r="E19" s="724"/>
      <c r="F19" s="724"/>
      <c r="G19" s="724"/>
      <c r="H19" s="724"/>
      <c r="I19" s="724"/>
      <c r="J19" s="725"/>
      <c r="K19" s="722">
        <f t="shared" si="0"/>
        <v>1049750</v>
      </c>
      <c r="L19" s="715">
        <v>1049750</v>
      </c>
      <c r="M19" s="707">
        <f t="shared" si="1"/>
        <v>0</v>
      </c>
      <c r="N19" s="708">
        <f t="shared" si="2"/>
        <v>100</v>
      </c>
      <c r="O19" s="709"/>
    </row>
    <row r="20" spans="1:15">
      <c r="A20" s="716" t="s">
        <v>459</v>
      </c>
      <c r="B20" s="727"/>
      <c r="C20" s="727"/>
      <c r="D20" s="724"/>
      <c r="E20" s="724"/>
      <c r="F20" s="724">
        <v>47975698.009999998</v>
      </c>
      <c r="G20" s="724"/>
      <c r="H20" s="724"/>
      <c r="I20" s="724"/>
      <c r="J20" s="725"/>
      <c r="K20" s="722">
        <f t="shared" si="0"/>
        <v>47975698.009999998</v>
      </c>
      <c r="L20" s="715">
        <v>46970499.640000001</v>
      </c>
      <c r="M20" s="707">
        <f t="shared" si="1"/>
        <v>-1005198.3699999973</v>
      </c>
      <c r="N20" s="708">
        <f t="shared" si="2"/>
        <v>97.904775935119332</v>
      </c>
      <c r="O20" s="709"/>
    </row>
    <row r="21" spans="1:15">
      <c r="A21" s="716" t="s">
        <v>460</v>
      </c>
      <c r="B21" s="717"/>
      <c r="C21" s="717"/>
      <c r="D21" s="724"/>
      <c r="E21" s="724">
        <v>520000</v>
      </c>
      <c r="F21" s="724"/>
      <c r="G21" s="724"/>
      <c r="H21" s="724"/>
      <c r="I21" s="724"/>
      <c r="J21" s="725"/>
      <c r="K21" s="722">
        <f t="shared" si="0"/>
        <v>520000</v>
      </c>
      <c r="L21" s="715">
        <v>1152464.6499999999</v>
      </c>
      <c r="M21" s="707">
        <f t="shared" si="1"/>
        <v>632464.64999999991</v>
      </c>
      <c r="N21" s="708">
        <f t="shared" si="2"/>
        <v>221.62781730769231</v>
      </c>
      <c r="O21" s="709"/>
    </row>
    <row r="22" spans="1:15" ht="36.75" customHeight="1">
      <c r="A22" s="728" t="s">
        <v>461</v>
      </c>
      <c r="B22" s="729"/>
      <c r="C22" s="729"/>
      <c r="D22" s="724"/>
      <c r="E22" s="724"/>
      <c r="F22" s="724"/>
      <c r="G22" s="724"/>
      <c r="H22" s="724"/>
      <c r="I22" s="724"/>
      <c r="J22" s="725"/>
      <c r="K22" s="730"/>
      <c r="L22" s="731">
        <v>2259.42</v>
      </c>
      <c r="M22" s="707">
        <f t="shared" si="1"/>
        <v>2259.42</v>
      </c>
      <c r="N22" s="732"/>
      <c r="O22" s="709"/>
    </row>
    <row r="23" spans="1:15" ht="26.25" thickBot="1">
      <c r="A23" s="733" t="s">
        <v>462</v>
      </c>
      <c r="B23" s="729"/>
      <c r="C23" s="729"/>
      <c r="D23" s="724"/>
      <c r="E23" s="724"/>
      <c r="F23" s="724"/>
      <c r="G23" s="724"/>
      <c r="H23" s="724"/>
      <c r="I23" s="724"/>
      <c r="J23" s="725">
        <v>12100</v>
      </c>
      <c r="K23" s="730">
        <v>12100</v>
      </c>
      <c r="L23" s="734">
        <v>0</v>
      </c>
      <c r="M23" s="707">
        <f t="shared" si="1"/>
        <v>-12100</v>
      </c>
      <c r="N23" s="735">
        <f t="shared" si="2"/>
        <v>0</v>
      </c>
      <c r="O23" s="709"/>
    </row>
    <row r="24" spans="1:15" ht="26.25" thickBot="1">
      <c r="A24" s="736" t="s">
        <v>463</v>
      </c>
      <c r="B24" s="737">
        <f t="shared" ref="B24:I24" si="4">SUM(B6:B23)</f>
        <v>2848750</v>
      </c>
      <c r="C24" s="737">
        <f t="shared" si="4"/>
        <v>990000</v>
      </c>
      <c r="D24" s="737">
        <f>SUM(D6:D23)</f>
        <v>4250000</v>
      </c>
      <c r="E24" s="737">
        <f t="shared" si="4"/>
        <v>16069000</v>
      </c>
      <c r="F24" s="737">
        <f t="shared" si="4"/>
        <v>57775698.009999998</v>
      </c>
      <c r="G24" s="737">
        <f t="shared" si="4"/>
        <v>1480000</v>
      </c>
      <c r="H24" s="737">
        <f t="shared" si="4"/>
        <v>800000</v>
      </c>
      <c r="I24" s="737">
        <f t="shared" si="4"/>
        <v>1090000</v>
      </c>
      <c r="J24" s="737">
        <f>SUM(J6:J23)</f>
        <v>12100</v>
      </c>
      <c r="K24" s="738">
        <f>SUM(B24:J24)</f>
        <v>85315548.00999999</v>
      </c>
      <c r="L24" s="739">
        <f>SUM(L6:L23)</f>
        <v>83270179.000000015</v>
      </c>
      <c r="M24" s="740">
        <f>SUM(M6:M23)</f>
        <v>-2045369.0099999974</v>
      </c>
      <c r="N24" s="741">
        <f t="shared" si="2"/>
        <v>97.602583517648824</v>
      </c>
      <c r="O24" s="709"/>
    </row>
    <row r="25" spans="1:15" ht="27" customHeight="1" thickBot="1">
      <c r="A25" s="742" t="s">
        <v>464</v>
      </c>
      <c r="B25" s="798">
        <f>SUM(B24:J24)</f>
        <v>85315548.00999999</v>
      </c>
      <c r="C25" s="799"/>
      <c r="D25" s="799"/>
      <c r="E25" s="799"/>
      <c r="F25" s="799"/>
      <c r="G25" s="799"/>
      <c r="H25" s="799"/>
      <c r="I25" s="799"/>
      <c r="J25" s="800"/>
      <c r="K25" s="743"/>
      <c r="L25" s="744"/>
      <c r="M25" s="745"/>
      <c r="N25" s="709"/>
      <c r="O25" s="709"/>
    </row>
    <row r="26" spans="1:15" ht="13.5" thickBot="1">
      <c r="A26" s="746"/>
      <c r="B26" s="747"/>
      <c r="C26" s="747"/>
      <c r="D26" s="747"/>
      <c r="E26" s="747"/>
      <c r="F26" s="748"/>
      <c r="G26" s="748"/>
      <c r="H26" s="748"/>
      <c r="I26" s="749"/>
      <c r="J26" s="749"/>
      <c r="K26" s="750"/>
      <c r="L26" s="751"/>
      <c r="M26" s="751"/>
      <c r="N26" s="709"/>
      <c r="O26" s="709"/>
    </row>
    <row r="27" spans="1:15">
      <c r="A27" s="774"/>
      <c r="B27" s="752"/>
      <c r="C27" s="752"/>
      <c r="D27" s="752"/>
      <c r="E27" s="709"/>
      <c r="F27" s="753"/>
      <c r="G27" s="754"/>
      <c r="H27" s="753"/>
      <c r="I27" s="709"/>
      <c r="J27" s="755" t="s">
        <v>426</v>
      </c>
      <c r="K27" s="756">
        <f>K24</f>
        <v>85315548.00999999</v>
      </c>
      <c r="L27" s="756">
        <f t="shared" ref="L27:M27" si="5">L24</f>
        <v>83270179.000000015</v>
      </c>
      <c r="M27" s="757">
        <f t="shared" si="5"/>
        <v>-2045369.0099999974</v>
      </c>
      <c r="N27" s="709"/>
      <c r="O27" s="709"/>
    </row>
    <row r="28" spans="1:15">
      <c r="B28" s="752"/>
      <c r="C28" s="752"/>
      <c r="D28" s="752"/>
      <c r="E28" s="709"/>
      <c r="F28" s="753"/>
      <c r="G28" s="758"/>
      <c r="H28" s="753"/>
      <c r="I28" s="709"/>
      <c r="J28" s="759" t="s">
        <v>427</v>
      </c>
      <c r="K28" s="760">
        <f>[1]RASHODI!D80</f>
        <v>85114512.5</v>
      </c>
      <c r="L28" s="760">
        <f>[1]RASHODI!E80</f>
        <v>80633751.840000004</v>
      </c>
      <c r="M28" s="761">
        <f>[1]RASHODI!F80</f>
        <v>-4480760.6599999983</v>
      </c>
      <c r="N28" s="709"/>
      <c r="O28" s="709"/>
    </row>
    <row r="29" spans="1:15" ht="13.5" thickBot="1">
      <c r="A29" s="776"/>
      <c r="B29" s="762"/>
      <c r="C29" s="762"/>
      <c r="D29" s="752"/>
      <c r="E29" s="709"/>
      <c r="F29" s="753"/>
      <c r="G29" s="753"/>
      <c r="H29" s="753"/>
      <c r="I29" s="709"/>
      <c r="J29" s="763" t="s">
        <v>428</v>
      </c>
      <c r="K29" s="764">
        <f>K27-K28</f>
        <v>201035.50999999046</v>
      </c>
      <c r="L29" s="764">
        <f t="shared" ref="L29" si="6">L27-L28</f>
        <v>2636427.1600000113</v>
      </c>
      <c r="M29" s="765">
        <f>M27-M28</f>
        <v>2435391.6500000008</v>
      </c>
      <c r="N29" s="709"/>
      <c r="O29" s="709"/>
    </row>
    <row r="30" spans="1:15">
      <c r="B30" s="766"/>
      <c r="C30" s="766"/>
      <c r="D30" s="766"/>
      <c r="E30" s="766"/>
      <c r="F30" s="766"/>
      <c r="G30" s="766"/>
      <c r="H30" s="767"/>
      <c r="I30" s="709"/>
      <c r="J30" s="709"/>
      <c r="K30" s="709"/>
      <c r="L30" s="745"/>
      <c r="M30" s="745"/>
      <c r="N30" s="709"/>
      <c r="O30" s="709"/>
    </row>
    <row r="31" spans="1:15">
      <c r="L31" s="745"/>
      <c r="M31" s="745"/>
    </row>
    <row r="32" spans="1:15">
      <c r="K32" s="745"/>
    </row>
    <row r="33" spans="1:13">
      <c r="A33" s="775"/>
      <c r="B33" s="770"/>
      <c r="C33" s="770"/>
      <c r="D33" s="771"/>
      <c r="G33" s="769"/>
      <c r="M33" s="745"/>
    </row>
    <row r="34" spans="1:13">
      <c r="A34" s="775"/>
      <c r="B34" s="770"/>
      <c r="C34" s="770"/>
      <c r="D34" s="771"/>
    </row>
    <row r="35" spans="1:13">
      <c r="A35" s="775"/>
      <c r="B35" s="770"/>
      <c r="C35" s="770"/>
      <c r="D35" s="771"/>
    </row>
    <row r="36" spans="1:13">
      <c r="A36" s="775"/>
      <c r="B36" s="770"/>
      <c r="C36" s="770"/>
      <c r="D36" s="771"/>
    </row>
    <row r="38" spans="1:13">
      <c r="A38" s="775"/>
      <c r="B38" s="770"/>
      <c r="C38" s="770"/>
      <c r="D38" s="771"/>
    </row>
    <row r="39" spans="1:13">
      <c r="A39" s="775"/>
      <c r="B39" s="770"/>
      <c r="C39" s="770"/>
      <c r="D39" s="771"/>
    </row>
    <row r="40" spans="1:13">
      <c r="A40" s="775"/>
      <c r="B40" s="770"/>
      <c r="C40" s="770"/>
      <c r="D40" s="771"/>
    </row>
    <row r="41" spans="1:13">
      <c r="A41" s="775"/>
      <c r="B41" s="770"/>
      <c r="C41" s="770"/>
      <c r="D41" s="771"/>
    </row>
    <row r="43" spans="1:13">
      <c r="A43" s="775"/>
      <c r="B43" s="770"/>
      <c r="C43" s="770"/>
      <c r="D43" s="770"/>
    </row>
    <row r="44" spans="1:13">
      <c r="A44" s="775"/>
      <c r="B44" s="770"/>
      <c r="C44" s="770"/>
      <c r="D44" s="770"/>
    </row>
    <row r="45" spans="1:13">
      <c r="A45" s="775"/>
      <c r="B45" s="770"/>
      <c r="C45" s="770"/>
      <c r="D45" s="770"/>
    </row>
  </sheetData>
  <mergeCells count="3">
    <mergeCell ref="A2:K2"/>
    <mergeCell ref="B4:K4"/>
    <mergeCell ref="B25:J25"/>
  </mergeCells>
  <pageMargins left="0.11811023622047245" right="0.11811023622047245" top="0.15748031496062992" bottom="0.15748031496062992" header="0.31496062992125984" footer="0.31496062992125984"/>
  <pageSetup paperSize="9" scale="7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23"/>
  <sheetViews>
    <sheetView workbookViewId="0">
      <selection activeCell="E115" sqref="E115"/>
    </sheetView>
  </sheetViews>
  <sheetFormatPr defaultRowHeight="15"/>
  <cols>
    <col min="1" max="1" width="12.42578125" style="404" customWidth="1"/>
    <col min="2" max="2" width="12.7109375" style="404" customWidth="1"/>
    <col min="3" max="3" width="20.7109375" style="404" customWidth="1"/>
    <col min="4" max="4" width="12.7109375" style="404" customWidth="1"/>
    <col min="5" max="5" width="20.7109375" style="404" customWidth="1"/>
    <col min="6" max="7" width="13.7109375" style="404" customWidth="1"/>
    <col min="8" max="9" width="9.140625" style="404"/>
    <col min="10" max="10" width="10.7109375" style="404" bestFit="1" customWidth="1"/>
    <col min="11" max="16384" width="9.140625" style="404"/>
  </cols>
  <sheetData>
    <row r="1" spans="1:7" ht="15.75" thickBot="1">
      <c r="A1" s="403" t="s">
        <v>60</v>
      </c>
      <c r="G1" s="531" t="s">
        <v>142</v>
      </c>
    </row>
    <row r="2" spans="1:7" ht="15.75" thickBot="1">
      <c r="A2" s="403"/>
    </row>
    <row r="3" spans="1:7" ht="27" thickBot="1">
      <c r="A3" s="860" t="s">
        <v>213</v>
      </c>
      <c r="B3" s="861"/>
      <c r="C3" s="861"/>
      <c r="D3" s="861"/>
      <c r="E3" s="861"/>
      <c r="F3" s="861"/>
      <c r="G3" s="862"/>
    </row>
    <row r="4" spans="1:7" ht="15.75" thickBot="1"/>
    <row r="5" spans="1:7" ht="60" customHeight="1">
      <c r="A5" s="863" t="s">
        <v>200</v>
      </c>
      <c r="B5" s="890" t="s">
        <v>214</v>
      </c>
      <c r="C5" s="891"/>
      <c r="D5" s="892" t="s">
        <v>215</v>
      </c>
      <c r="E5" s="893"/>
      <c r="F5" s="894" t="s">
        <v>216</v>
      </c>
      <c r="G5" s="896" t="s">
        <v>217</v>
      </c>
    </row>
    <row r="6" spans="1:7" ht="15.75" thickBot="1">
      <c r="A6" s="864"/>
      <c r="B6" s="460" t="s">
        <v>218</v>
      </c>
      <c r="C6" s="461" t="s">
        <v>206</v>
      </c>
      <c r="D6" s="460" t="s">
        <v>218</v>
      </c>
      <c r="E6" s="461" t="s">
        <v>206</v>
      </c>
      <c r="F6" s="895"/>
      <c r="G6" s="897"/>
    </row>
    <row r="7" spans="1:7" ht="21.95" customHeight="1">
      <c r="A7" s="407">
        <v>1</v>
      </c>
      <c r="B7" s="408">
        <f>'[2]VODA - WELLNESS I OSTALI OBJEKT'!F9</f>
        <v>539</v>
      </c>
      <c r="C7" s="409">
        <f>'[2]VODA - WELLNESS I OSTALI OBJEKT'!G9</f>
        <v>21202</v>
      </c>
      <c r="D7" s="408">
        <f>'[2]VODA - WELLNESS I OSTALI OBJEKT'!L9</f>
        <v>1031</v>
      </c>
      <c r="E7" s="409">
        <f>'[2]VODA - WELLNESS I OSTALI OBJEKT'!M9</f>
        <v>35562.43</v>
      </c>
      <c r="F7" s="410">
        <f>D7/B7*100</f>
        <v>191.28014842300556</v>
      </c>
      <c r="G7" s="411">
        <f>E7/C7*100</f>
        <v>167.73148759550986</v>
      </c>
    </row>
    <row r="8" spans="1:7" ht="21.95" customHeight="1">
      <c r="A8" s="412">
        <v>2</v>
      </c>
      <c r="B8" s="413">
        <f>'[2]VODA - WELLNESS I OSTALI OBJEKT'!F10</f>
        <v>913</v>
      </c>
      <c r="C8" s="414">
        <f>'[2]VODA - WELLNESS I OSTALI OBJEKT'!G10</f>
        <v>30879.58</v>
      </c>
      <c r="D8" s="413">
        <f>'[2]VODA - WELLNESS I OSTALI OBJEKT'!L10</f>
        <v>1401</v>
      </c>
      <c r="E8" s="414">
        <f>'[2]VODA - WELLNESS I OSTALI OBJEKT'!M10</f>
        <v>44162.57</v>
      </c>
      <c r="F8" s="415">
        <f t="shared" ref="F8:G18" si="0">D8/B8*100</f>
        <v>153.4501642935378</v>
      </c>
      <c r="G8" s="416">
        <f t="shared" si="0"/>
        <v>143.01544904431989</v>
      </c>
    </row>
    <row r="9" spans="1:7" ht="21.95" customHeight="1">
      <c r="A9" s="412">
        <v>3</v>
      </c>
      <c r="B9" s="413">
        <f>'[2]VODA - WELLNESS I OSTALI OBJEKT'!F11</f>
        <v>1730</v>
      </c>
      <c r="C9" s="414">
        <f>'[2]VODA - WELLNESS I OSTALI OBJEKT'!G11</f>
        <v>50768.82</v>
      </c>
      <c r="D9" s="413">
        <f>'[2]VODA - WELLNESS I OSTALI OBJEKT'!L11</f>
        <v>1428</v>
      </c>
      <c r="E9" s="414">
        <f>'[2]VODA - WELLNESS I OSTALI OBJEKT'!M11</f>
        <v>44831.149999999994</v>
      </c>
      <c r="F9" s="415">
        <f t="shared" si="0"/>
        <v>82.543352601156073</v>
      </c>
      <c r="G9" s="416">
        <f t="shared" si="0"/>
        <v>88.304494766669777</v>
      </c>
    </row>
    <row r="10" spans="1:7" ht="21.95" customHeight="1">
      <c r="A10" s="412">
        <v>4</v>
      </c>
      <c r="B10" s="413">
        <f>'[2]VODA - WELLNESS I OSTALI OBJEKT'!F12</f>
        <v>1259</v>
      </c>
      <c r="C10" s="414">
        <f>'[2]VODA - WELLNESS I OSTALI OBJEKT'!G12</f>
        <v>39068.71</v>
      </c>
      <c r="D10" s="413">
        <f>'[2]VODA - WELLNESS I OSTALI OBJEKT'!L12</f>
        <v>1451</v>
      </c>
      <c r="E10" s="414">
        <f>'[2]VODA - WELLNESS I OSTALI OBJEKT'!M12</f>
        <v>45962.6</v>
      </c>
      <c r="F10" s="415">
        <f t="shared" si="0"/>
        <v>115.25019857029389</v>
      </c>
      <c r="G10" s="416">
        <f t="shared" si="0"/>
        <v>117.64555318053758</v>
      </c>
    </row>
    <row r="11" spans="1:7" ht="21.95" customHeight="1">
      <c r="A11" s="412">
        <v>5</v>
      </c>
      <c r="B11" s="413">
        <f>'[2]VODA - WELLNESS I OSTALI OBJEKT'!F13</f>
        <v>1313</v>
      </c>
      <c r="C11" s="414">
        <f>'[2]VODA - WELLNESS I OSTALI OBJEKT'!G13</f>
        <v>41650.659999999996</v>
      </c>
      <c r="D11" s="413">
        <f>'[2]VODA - WELLNESS I OSTALI OBJEKT'!L13</f>
        <v>1516</v>
      </c>
      <c r="E11" s="414">
        <f>'[2]VODA - WELLNESS I OSTALI OBJEKT'!M13</f>
        <v>47010.23</v>
      </c>
      <c r="F11" s="415">
        <f t="shared" si="0"/>
        <v>115.46077684691546</v>
      </c>
      <c r="G11" s="416">
        <f t="shared" si="0"/>
        <v>112.86791133681918</v>
      </c>
    </row>
    <row r="12" spans="1:7" ht="21.95" customHeight="1">
      <c r="A12" s="412">
        <v>6</v>
      </c>
      <c r="B12" s="413">
        <f>'[2]VODA - WELLNESS I OSTALI OBJEKT'!F14</f>
        <v>1380</v>
      </c>
      <c r="C12" s="414">
        <f>'[2]VODA - WELLNESS I OSTALI OBJEKT'!G14</f>
        <v>43554.25</v>
      </c>
      <c r="D12" s="413">
        <f>'[2]VODA - WELLNESS I OSTALI OBJEKT'!L14</f>
        <v>1695</v>
      </c>
      <c r="E12" s="414">
        <f>'[2]VODA - WELLNESS I OSTALI OBJEKT'!M14</f>
        <v>52248.86</v>
      </c>
      <c r="F12" s="415">
        <f t="shared" si="0"/>
        <v>122.82608695652173</v>
      </c>
      <c r="G12" s="416">
        <f t="shared" si="0"/>
        <v>119.96271316806053</v>
      </c>
    </row>
    <row r="13" spans="1:7" ht="21.95" customHeight="1">
      <c r="A13" s="412">
        <v>7</v>
      </c>
      <c r="B13" s="413">
        <f>'[2]VODA - WELLNESS I OSTALI OBJEKT'!F15</f>
        <v>1551</v>
      </c>
      <c r="C13" s="414">
        <f>'[2]VODA - WELLNESS I OSTALI OBJEKT'!G15</f>
        <v>47339.18</v>
      </c>
      <c r="D13" s="413">
        <f>'[2]VODA - WELLNESS I OSTALI OBJEKT'!L15</f>
        <v>1565</v>
      </c>
      <c r="E13" s="414">
        <f>'[2]VODA - WELLNESS I OSTALI OBJEKT'!M15</f>
        <v>48785.509999999995</v>
      </c>
      <c r="F13" s="415">
        <f t="shared" si="0"/>
        <v>100.90264345583495</v>
      </c>
      <c r="G13" s="416">
        <f t="shared" si="0"/>
        <v>103.05524937271831</v>
      </c>
    </row>
    <row r="14" spans="1:7" ht="21.95" customHeight="1">
      <c r="A14" s="412">
        <v>8</v>
      </c>
      <c r="B14" s="413">
        <f>'[2]VODA - WELLNESS I OSTALI OBJEKT'!F16</f>
        <v>1503</v>
      </c>
      <c r="C14" s="414">
        <f>'[2]VODA - WELLNESS I OSTALI OBJEKT'!G16</f>
        <v>46817.54</v>
      </c>
      <c r="D14" s="413">
        <f>'[2]VODA - WELLNESS I OSTALI OBJEKT'!L16</f>
        <v>1526</v>
      </c>
      <c r="E14" s="414">
        <f>'[2]VODA - WELLNESS I OSTALI OBJEKT'!M16</f>
        <v>47174.18</v>
      </c>
      <c r="F14" s="415">
        <f t="shared" si="0"/>
        <v>101.53027278775781</v>
      </c>
      <c r="G14" s="416">
        <f t="shared" si="0"/>
        <v>100.76176578265326</v>
      </c>
    </row>
    <row r="15" spans="1:7" ht="21.95" customHeight="1">
      <c r="A15" s="412">
        <v>9</v>
      </c>
      <c r="B15" s="413">
        <f>'[2]VODA - WELLNESS I OSTALI OBJEKT'!F17</f>
        <v>1426</v>
      </c>
      <c r="C15" s="414">
        <f>'[2]VODA - WELLNESS I OSTALI OBJEKT'!G17</f>
        <v>45086.61</v>
      </c>
      <c r="D15" s="413">
        <f>'[2]VODA - WELLNESS I OSTALI OBJEKT'!L17</f>
        <v>1447</v>
      </c>
      <c r="E15" s="414">
        <f>'[2]VODA - WELLNESS I OSTALI OBJEKT'!M17</f>
        <v>45898.17</v>
      </c>
      <c r="F15" s="415">
        <f t="shared" si="0"/>
        <v>101.4726507713885</v>
      </c>
      <c r="G15" s="416">
        <f t="shared" si="0"/>
        <v>101.80000226231247</v>
      </c>
    </row>
    <row r="16" spans="1:7" ht="21.95" customHeight="1">
      <c r="A16" s="412">
        <v>10</v>
      </c>
      <c r="B16" s="413">
        <f>'[2]VODA - WELLNESS I OSTALI OBJEKT'!F18</f>
        <v>1321</v>
      </c>
      <c r="C16" s="414">
        <f>'[2]VODA - WELLNESS I OSTALI OBJEKT'!G18</f>
        <v>42088.32</v>
      </c>
      <c r="D16" s="413">
        <f>'[2]VODA - WELLNESS I OSTALI OBJEKT'!L18</f>
        <v>1302</v>
      </c>
      <c r="E16" s="414">
        <f>'[2]VODA - WELLNESS I OSTALI OBJEKT'!M18</f>
        <v>41471.99</v>
      </c>
      <c r="F16" s="415">
        <f t="shared" si="0"/>
        <v>98.561695685087059</v>
      </c>
      <c r="G16" s="416">
        <f t="shared" si="0"/>
        <v>98.535626986299292</v>
      </c>
    </row>
    <row r="17" spans="1:10" ht="21.95" customHeight="1">
      <c r="A17" s="412">
        <v>11</v>
      </c>
      <c r="B17" s="413">
        <f>'[2]VODA - WELLNESS I OSTALI OBJEKT'!F19</f>
        <v>1215</v>
      </c>
      <c r="C17" s="414">
        <f>'[2]VODA - WELLNESS I OSTALI OBJEKT'!G19</f>
        <v>39147.07</v>
      </c>
      <c r="D17" s="413">
        <f>'[2]VODA - WELLNESS I OSTALI OBJEKT'!L19</f>
        <v>1418</v>
      </c>
      <c r="E17" s="414">
        <f>'[2]VODA - WELLNESS I OSTALI OBJEKT'!M19</f>
        <v>44984.91</v>
      </c>
      <c r="F17" s="415">
        <f t="shared" si="0"/>
        <v>116.70781893004116</v>
      </c>
      <c r="G17" s="416">
        <f t="shared" si="0"/>
        <v>114.91258477326656</v>
      </c>
      <c r="J17" s="419"/>
    </row>
    <row r="18" spans="1:10" ht="21.95" customHeight="1" thickBot="1">
      <c r="A18" s="420">
        <v>12</v>
      </c>
      <c r="B18" s="421">
        <f>'[2]VODA - WELLNESS I OSTALI OBJEKT'!F20</f>
        <v>1200</v>
      </c>
      <c r="C18" s="422">
        <f>'[2]VODA - WELLNESS I OSTALI OBJEKT'!G20</f>
        <v>39827.630000000005</v>
      </c>
      <c r="D18" s="421">
        <f>'[2]VODA - WELLNESS I OSTALI OBJEKT'!L20</f>
        <v>1241</v>
      </c>
      <c r="E18" s="422">
        <f>'[2]VODA - WELLNESS I OSTALI OBJEKT'!M20</f>
        <v>40200.6</v>
      </c>
      <c r="F18" s="423">
        <f t="shared" si="0"/>
        <v>103.41666666666667</v>
      </c>
      <c r="G18" s="424">
        <f t="shared" si="0"/>
        <v>100.93646044216035</v>
      </c>
    </row>
    <row r="19" spans="1:10" ht="30" customHeight="1" thickBot="1">
      <c r="A19" s="425" t="s">
        <v>23</v>
      </c>
      <c r="B19" s="462">
        <f>SUM(B7:B18)</f>
        <v>15350</v>
      </c>
      <c r="C19" s="463">
        <f>SUM(C7:C18)</f>
        <v>487430.37</v>
      </c>
      <c r="D19" s="464">
        <f>SUM(D7:D18)</f>
        <v>17021</v>
      </c>
      <c r="E19" s="465">
        <f>SUM(E7:E18)</f>
        <v>538293.19999999995</v>
      </c>
      <c r="F19" s="466">
        <f>D19/B19*100</f>
        <v>110.88599348534203</v>
      </c>
      <c r="G19" s="467">
        <f>E19/C19*100</f>
        <v>110.43489144921355</v>
      </c>
    </row>
    <row r="20" spans="1:10" ht="15.75" thickBot="1">
      <c r="E20" s="419"/>
    </row>
    <row r="21" spans="1:10" ht="15.75" thickBot="1">
      <c r="A21" s="432" t="s">
        <v>207</v>
      </c>
      <c r="B21" s="433"/>
      <c r="C21" s="434"/>
      <c r="D21" s="434"/>
      <c r="E21" s="419"/>
    </row>
    <row r="23" spans="1:10">
      <c r="E23" s="418"/>
    </row>
  </sheetData>
  <mergeCells count="6">
    <mergeCell ref="A3:G3"/>
    <mergeCell ref="A5:A6"/>
    <mergeCell ref="B5:C5"/>
    <mergeCell ref="D5:E5"/>
    <mergeCell ref="F5:F6"/>
    <mergeCell ref="G5:G6"/>
  </mergeCells>
  <pageMargins left="0.70866141732283472" right="0.70866141732283472" top="0.74803149606299213" bottom="0.74803149606299213" header="0.31496062992125984" footer="0.31496062992125984"/>
  <pageSetup paperSize="9" scale="80" pageOrder="overThenDown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26"/>
  <sheetViews>
    <sheetView workbookViewId="0">
      <selection activeCell="J2" sqref="J2"/>
    </sheetView>
  </sheetViews>
  <sheetFormatPr defaultRowHeight="15"/>
  <cols>
    <col min="1" max="1" width="21" style="493" customWidth="1"/>
    <col min="2" max="2" width="5" style="493" bestFit="1" customWidth="1"/>
    <col min="3" max="3" width="9.5703125" style="493" bestFit="1" customWidth="1"/>
    <col min="4" max="4" width="19.85546875" style="493" bestFit="1" customWidth="1"/>
    <col min="5" max="5" width="9.5703125" style="493" bestFit="1" customWidth="1"/>
    <col min="6" max="6" width="19.85546875" style="493" bestFit="1" customWidth="1"/>
    <col min="7" max="7" width="10.5703125" style="493" customWidth="1"/>
    <col min="8" max="8" width="19.42578125" style="493" bestFit="1" customWidth="1"/>
    <col min="9" max="10" width="10.7109375" style="493" customWidth="1"/>
    <col min="11" max="16384" width="9.140625" style="493"/>
  </cols>
  <sheetData>
    <row r="1" spans="1:10" ht="15.75" thickBot="1">
      <c r="A1" s="492" t="s">
        <v>60</v>
      </c>
      <c r="B1" s="492"/>
      <c r="J1" s="531" t="s">
        <v>242</v>
      </c>
    </row>
    <row r="2" spans="1:10" ht="15.75" thickBot="1">
      <c r="A2" s="492"/>
      <c r="B2" s="492"/>
    </row>
    <row r="3" spans="1:10" ht="27" thickBot="1">
      <c r="A3" s="898" t="s">
        <v>248</v>
      </c>
      <c r="B3" s="899"/>
      <c r="C3" s="899"/>
      <c r="D3" s="899"/>
      <c r="E3" s="899"/>
      <c r="F3" s="899"/>
      <c r="G3" s="899"/>
      <c r="H3" s="899"/>
      <c r="I3" s="899"/>
      <c r="J3" s="900"/>
    </row>
    <row r="4" spans="1:10" ht="15.75" thickBot="1"/>
    <row r="5" spans="1:10" ht="86.25" customHeight="1" thickBot="1">
      <c r="A5" s="901" t="s">
        <v>224</v>
      </c>
      <c r="B5" s="902"/>
      <c r="C5" s="903" t="s">
        <v>201</v>
      </c>
      <c r="D5" s="904"/>
      <c r="E5" s="905" t="s">
        <v>202</v>
      </c>
      <c r="F5" s="906"/>
      <c r="G5" s="907" t="s">
        <v>225</v>
      </c>
      <c r="H5" s="908"/>
      <c r="I5" s="909" t="s">
        <v>226</v>
      </c>
      <c r="J5" s="910"/>
    </row>
    <row r="6" spans="1:10" ht="30.75" thickBot="1">
      <c r="A6" s="494"/>
      <c r="B6" s="495" t="s">
        <v>227</v>
      </c>
      <c r="C6" s="496" t="s">
        <v>228</v>
      </c>
      <c r="D6" s="497" t="s">
        <v>206</v>
      </c>
      <c r="E6" s="496" t="s">
        <v>228</v>
      </c>
      <c r="F6" s="497" t="s">
        <v>206</v>
      </c>
      <c r="G6" s="496" t="s">
        <v>228</v>
      </c>
      <c r="H6" s="497" t="s">
        <v>206</v>
      </c>
      <c r="I6" s="496" t="s">
        <v>228</v>
      </c>
      <c r="J6" s="497" t="s">
        <v>206</v>
      </c>
    </row>
    <row r="7" spans="1:10" ht="21.95" customHeight="1">
      <c r="A7" s="498" t="s">
        <v>229</v>
      </c>
      <c r="B7" s="498" t="s">
        <v>230</v>
      </c>
      <c r="C7" s="499">
        <v>204032</v>
      </c>
      <c r="D7" s="500">
        <v>955874.33</v>
      </c>
      <c r="E7" s="499">
        <v>206008</v>
      </c>
      <c r="F7" s="500">
        <v>1653478.05</v>
      </c>
      <c r="G7" s="499">
        <f t="shared" ref="G7:H10" si="0">E7-C7</f>
        <v>1976</v>
      </c>
      <c r="H7" s="501">
        <f t="shared" si="0"/>
        <v>697603.72000000009</v>
      </c>
      <c r="I7" s="502">
        <f t="shared" ref="I7:J10" si="1">G7/C7</f>
        <v>9.6847553324968631E-3</v>
      </c>
      <c r="J7" s="503">
        <f t="shared" si="1"/>
        <v>0.72980694020729708</v>
      </c>
    </row>
    <row r="8" spans="1:10" ht="21.95" customHeight="1">
      <c r="A8" s="504" t="s">
        <v>231</v>
      </c>
      <c r="B8" s="504" t="s">
        <v>211</v>
      </c>
      <c r="C8" s="505">
        <v>1495303</v>
      </c>
      <c r="D8" s="506">
        <v>1337431.45</v>
      </c>
      <c r="E8" s="505">
        <v>1612108</v>
      </c>
      <c r="F8" s="506">
        <v>1438064.78</v>
      </c>
      <c r="G8" s="505">
        <f t="shared" si="0"/>
        <v>116805</v>
      </c>
      <c r="H8" s="507">
        <f t="shared" si="0"/>
        <v>100633.33000000007</v>
      </c>
      <c r="I8" s="508">
        <f t="shared" si="1"/>
        <v>7.8114602859754842E-2</v>
      </c>
      <c r="J8" s="509">
        <f t="shared" si="1"/>
        <v>7.5243729314126775E-2</v>
      </c>
    </row>
    <row r="9" spans="1:10" ht="21.95" customHeight="1">
      <c r="A9" s="504" t="s">
        <v>232</v>
      </c>
      <c r="B9" s="504" t="s">
        <v>233</v>
      </c>
      <c r="C9" s="505">
        <v>11205</v>
      </c>
      <c r="D9" s="506">
        <v>96233.32</v>
      </c>
      <c r="E9" s="505">
        <v>12722</v>
      </c>
      <c r="F9" s="506">
        <v>141829.84</v>
      </c>
      <c r="G9" s="505">
        <f t="shared" si="0"/>
        <v>1517</v>
      </c>
      <c r="H9" s="507">
        <f t="shared" si="0"/>
        <v>45596.51999999999</v>
      </c>
      <c r="I9" s="508">
        <f t="shared" si="1"/>
        <v>0.13538598839803659</v>
      </c>
      <c r="J9" s="509">
        <f t="shared" si="1"/>
        <v>0.47381218895908389</v>
      </c>
    </row>
    <row r="10" spans="1:10" ht="21.95" customHeight="1" thickBot="1">
      <c r="A10" s="504" t="s">
        <v>234</v>
      </c>
      <c r="B10" s="504" t="s">
        <v>230</v>
      </c>
      <c r="C10" s="505">
        <v>15350</v>
      </c>
      <c r="D10" s="506">
        <v>487430.37</v>
      </c>
      <c r="E10" s="505">
        <v>17021</v>
      </c>
      <c r="F10" s="506">
        <v>538293.19999999995</v>
      </c>
      <c r="G10" s="510">
        <f t="shared" si="0"/>
        <v>1671</v>
      </c>
      <c r="H10" s="511">
        <f t="shared" si="0"/>
        <v>50862.829999999958</v>
      </c>
      <c r="I10" s="512">
        <f t="shared" si="1"/>
        <v>0.1088599348534202</v>
      </c>
      <c r="J10" s="513">
        <f t="shared" si="1"/>
        <v>0.10434891449213547</v>
      </c>
    </row>
    <row r="11" spans="1:10" ht="30" customHeight="1" thickBot="1">
      <c r="A11" s="514" t="s">
        <v>23</v>
      </c>
      <c r="B11" s="514"/>
      <c r="C11" s="515"/>
      <c r="D11" s="516">
        <f>SUM(D7:D10)</f>
        <v>2876969.4699999997</v>
      </c>
      <c r="E11" s="517"/>
      <c r="F11" s="518">
        <f>SUM(F7:F10)</f>
        <v>3771665.87</v>
      </c>
      <c r="G11" s="519"/>
      <c r="H11" s="520">
        <f>SUM(H7:H10)</f>
        <v>894696.40000000014</v>
      </c>
      <c r="I11" s="521"/>
      <c r="J11" s="522">
        <f>H11/D11</f>
        <v>0.3109857123370865</v>
      </c>
    </row>
    <row r="12" spans="1:10" ht="15.75" thickBot="1">
      <c r="F12" s="523"/>
    </row>
    <row r="13" spans="1:10" ht="15.75" thickBot="1">
      <c r="A13" s="524" t="s">
        <v>207</v>
      </c>
      <c r="B13" s="525"/>
      <c r="C13" s="525"/>
      <c r="D13" s="526"/>
      <c r="E13" s="527"/>
      <c r="F13" s="523"/>
    </row>
    <row r="14" spans="1:10">
      <c r="E14" s="528"/>
    </row>
    <row r="15" spans="1:10">
      <c r="A15" s="529" t="s">
        <v>235</v>
      </c>
      <c r="E15" s="528"/>
    </row>
    <row r="16" spans="1:10">
      <c r="A16" s="529" t="s">
        <v>236</v>
      </c>
      <c r="E16" s="528"/>
    </row>
    <row r="17" spans="1:5">
      <c r="A17" s="529" t="s">
        <v>237</v>
      </c>
      <c r="E17" s="528"/>
    </row>
    <row r="18" spans="1:5">
      <c r="A18" s="529" t="s">
        <v>238</v>
      </c>
      <c r="E18" s="528"/>
    </row>
    <row r="19" spans="1:5">
      <c r="A19" s="529" t="s">
        <v>239</v>
      </c>
      <c r="E19" s="528"/>
    </row>
    <row r="20" spans="1:5">
      <c r="A20" s="529" t="s">
        <v>240</v>
      </c>
      <c r="E20" s="528"/>
    </row>
    <row r="21" spans="1:5">
      <c r="A21" s="529"/>
      <c r="E21" s="528"/>
    </row>
    <row r="22" spans="1:5">
      <c r="A22" s="529"/>
      <c r="E22" s="528"/>
    </row>
    <row r="23" spans="1:5">
      <c r="A23" s="529"/>
      <c r="E23" s="528"/>
    </row>
    <row r="24" spans="1:5">
      <c r="A24" s="529"/>
      <c r="E24" s="528"/>
    </row>
    <row r="25" spans="1:5">
      <c r="A25" s="529"/>
      <c r="E25" s="528"/>
    </row>
    <row r="26" spans="1:5">
      <c r="E26" s="528"/>
    </row>
  </sheetData>
  <mergeCells count="6">
    <mergeCell ref="A3:J3"/>
    <mergeCell ref="A5:B5"/>
    <mergeCell ref="C5:D5"/>
    <mergeCell ref="E5:F5"/>
    <mergeCell ref="G5:H5"/>
    <mergeCell ref="I5:J5"/>
  </mergeCells>
  <pageMargins left="0.70866141732283472" right="0.70866141732283472" top="0.74803149606299213" bottom="0.74803149606299213" header="0.31496062992125984" footer="0.31496062992125984"/>
  <pageSetup paperSize="9" scale="95" pageOrder="overThenDown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activeCell="B2" sqref="B2"/>
    </sheetView>
  </sheetViews>
  <sheetFormatPr defaultRowHeight="15"/>
  <cols>
    <col min="1" max="1" width="65" customWidth="1"/>
    <col min="2" max="2" width="20.85546875" customWidth="1"/>
    <col min="3" max="3" width="13.140625" bestFit="1" customWidth="1"/>
    <col min="4" max="4" width="10.140625" bestFit="1" customWidth="1"/>
  </cols>
  <sheetData>
    <row r="1" spans="1:5" ht="15.75" thickBot="1">
      <c r="B1" s="270" t="s">
        <v>281</v>
      </c>
    </row>
    <row r="2" spans="1:5" ht="30" customHeight="1" thickBot="1">
      <c r="A2" s="350" t="s">
        <v>137</v>
      </c>
      <c r="B2" s="351"/>
      <c r="C2" s="310"/>
      <c r="D2" s="2"/>
    </row>
    <row r="3" spans="1:5" ht="6.95" customHeight="1" thickBot="1">
      <c r="A3" s="271"/>
      <c r="B3" s="271"/>
    </row>
    <row r="4" spans="1:5" ht="24.95" customHeight="1" thickBot="1">
      <c r="A4" s="361" t="s">
        <v>138</v>
      </c>
      <c r="B4" s="362" t="s">
        <v>139</v>
      </c>
    </row>
    <row r="5" spans="1:5">
      <c r="A5" s="365" t="s">
        <v>144</v>
      </c>
      <c r="B5" s="366">
        <f>62750+936250+295957.34+184829.37</f>
        <v>1479786.71</v>
      </c>
      <c r="C5" s="352"/>
      <c r="D5" s="2"/>
    </row>
    <row r="6" spans="1:5">
      <c r="A6" s="367" t="s">
        <v>145</v>
      </c>
      <c r="B6" s="368">
        <f>951983.9+237995.98</f>
        <v>1189979.8800000001</v>
      </c>
      <c r="C6" s="352"/>
      <c r="D6" s="2"/>
    </row>
    <row r="7" spans="1:5">
      <c r="A7" s="367" t="s">
        <v>146</v>
      </c>
      <c r="B7" s="368">
        <f>472200.58+150083.13</f>
        <v>622283.71</v>
      </c>
      <c r="C7" s="352"/>
      <c r="D7" s="2"/>
    </row>
    <row r="8" spans="1:5">
      <c r="A8" s="367" t="s">
        <v>147</v>
      </c>
      <c r="B8" s="368">
        <v>128009.25</v>
      </c>
      <c r="C8" s="352"/>
      <c r="D8" s="2"/>
    </row>
    <row r="9" spans="1:5">
      <c r="A9" s="367" t="s">
        <v>465</v>
      </c>
      <c r="B9" s="368">
        <f>85293.16+21323.29</f>
        <v>106616.45000000001</v>
      </c>
      <c r="C9" s="352"/>
      <c r="D9" s="2"/>
    </row>
    <row r="10" spans="1:5">
      <c r="A10" s="367" t="s">
        <v>148</v>
      </c>
      <c r="B10" s="368">
        <f>62084.83+15521.21</f>
        <v>77606.040000000008</v>
      </c>
      <c r="C10" s="2"/>
      <c r="D10" s="271"/>
    </row>
    <row r="11" spans="1:5" ht="15.75" thickBot="1">
      <c r="A11" s="369" t="s">
        <v>149</v>
      </c>
      <c r="B11" s="370">
        <f>40076.8+10019.2</f>
        <v>50096</v>
      </c>
      <c r="C11" s="2"/>
      <c r="D11" s="271"/>
    </row>
    <row r="12" spans="1:5" ht="24.95" customHeight="1" thickBot="1">
      <c r="A12" s="363" t="s">
        <v>140</v>
      </c>
      <c r="B12" s="364">
        <f>SUM(B5:B11)</f>
        <v>3654378.04</v>
      </c>
      <c r="D12" s="354"/>
      <c r="E12" s="355"/>
    </row>
    <row r="13" spans="1:5" s="209" customFormat="1" ht="6.95" customHeight="1" thickBot="1">
      <c r="A13" s="356"/>
      <c r="B13" s="357"/>
    </row>
    <row r="14" spans="1:5" ht="24.95" customHeight="1" thickBot="1">
      <c r="A14" s="358" t="s">
        <v>141</v>
      </c>
      <c r="B14" s="353">
        <v>1526366.65</v>
      </c>
    </row>
    <row r="15" spans="1:5" ht="6.95" customHeight="1" thickBot="1"/>
    <row r="16" spans="1:5" ht="42.75" thickBot="1">
      <c r="A16" s="359" t="s">
        <v>143</v>
      </c>
      <c r="B16" s="360">
        <f>B12+B14</f>
        <v>5180744.6899999995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50"/>
  <sheetViews>
    <sheetView workbookViewId="0">
      <selection activeCell="A2" sqref="A2:D3"/>
    </sheetView>
  </sheetViews>
  <sheetFormatPr defaultRowHeight="15"/>
  <cols>
    <col min="1" max="1" width="9.28515625" customWidth="1"/>
    <col min="2" max="2" width="9.140625" hidden="1" customWidth="1"/>
    <col min="3" max="3" width="60.85546875" bestFit="1" customWidth="1"/>
    <col min="4" max="4" width="17.7109375" style="378" bestFit="1" customWidth="1"/>
    <col min="6" max="6" width="15.85546875" bestFit="1" customWidth="1"/>
    <col min="7" max="7" width="11.7109375" bestFit="1" customWidth="1"/>
  </cols>
  <sheetData>
    <row r="1" spans="1:7" ht="15.75" thickBot="1">
      <c r="D1" s="530" t="s">
        <v>466</v>
      </c>
    </row>
    <row r="2" spans="1:7" ht="15" customHeight="1">
      <c r="A2" s="933" t="s">
        <v>165</v>
      </c>
      <c r="B2" s="934"/>
      <c r="C2" s="934"/>
      <c r="D2" s="935"/>
    </row>
    <row r="3" spans="1:7" ht="62.25" customHeight="1" thickBot="1">
      <c r="A3" s="936"/>
      <c r="B3" s="937"/>
      <c r="C3" s="937"/>
      <c r="D3" s="938"/>
    </row>
    <row r="4" spans="1:7" ht="15.75" thickBot="1">
      <c r="A4" s="927" t="s">
        <v>150</v>
      </c>
      <c r="B4" s="939"/>
      <c r="C4" s="371" t="s">
        <v>151</v>
      </c>
      <c r="D4" s="372" t="s">
        <v>152</v>
      </c>
    </row>
    <row r="5" spans="1:7" ht="15.75" thickBot="1">
      <c r="A5" s="927" t="s">
        <v>153</v>
      </c>
      <c r="B5" s="928"/>
      <c r="C5" s="928"/>
      <c r="D5" s="373">
        <v>59584.480000000003</v>
      </c>
    </row>
    <row r="6" spans="1:7" ht="15.75" thickBot="1">
      <c r="A6" s="929" t="s">
        <v>154</v>
      </c>
      <c r="B6" s="940"/>
      <c r="C6" s="374" t="s">
        <v>166</v>
      </c>
      <c r="D6" s="375">
        <v>59584.480000000003</v>
      </c>
    </row>
    <row r="7" spans="1:7" ht="15.75" thickBot="1">
      <c r="A7" s="927" t="s">
        <v>167</v>
      </c>
      <c r="B7" s="928"/>
      <c r="C7" s="928"/>
      <c r="D7" s="373">
        <v>89280</v>
      </c>
    </row>
    <row r="8" spans="1:7" ht="15.75" thickBot="1">
      <c r="A8" s="929" t="s">
        <v>154</v>
      </c>
      <c r="B8" s="940"/>
      <c r="C8" s="374" t="s">
        <v>168</v>
      </c>
      <c r="D8" s="375">
        <v>89280</v>
      </c>
    </row>
    <row r="9" spans="1:7" ht="15.75" thickBot="1">
      <c r="A9" s="927" t="s">
        <v>155</v>
      </c>
      <c r="B9" s="928"/>
      <c r="C9" s="928"/>
      <c r="D9" s="373">
        <v>330300.53000000003</v>
      </c>
    </row>
    <row r="10" spans="1:7">
      <c r="A10" s="913" t="s">
        <v>154</v>
      </c>
      <c r="B10" s="914"/>
      <c r="C10" s="376" t="s">
        <v>171</v>
      </c>
      <c r="D10" s="377">
        <v>228366.87</v>
      </c>
      <c r="F10" s="378"/>
    </row>
    <row r="11" spans="1:7" ht="15.75" thickBot="1">
      <c r="A11" s="379"/>
      <c r="B11" s="380"/>
      <c r="C11" s="376" t="s">
        <v>169</v>
      </c>
      <c r="D11" s="377">
        <v>101933.66</v>
      </c>
      <c r="F11" s="378"/>
    </row>
    <row r="12" spans="1:7" ht="15.75" thickBot="1">
      <c r="A12" s="927" t="s">
        <v>156</v>
      </c>
      <c r="B12" s="928"/>
      <c r="C12" s="928"/>
      <c r="D12" s="373">
        <v>5838.98</v>
      </c>
      <c r="G12" s="381"/>
    </row>
    <row r="13" spans="1:7" ht="15.75" thickBot="1">
      <c r="A13" s="929" t="s">
        <v>154</v>
      </c>
      <c r="B13" s="930"/>
      <c r="C13" s="382" t="s">
        <v>157</v>
      </c>
      <c r="D13" s="375">
        <v>5838.98</v>
      </c>
      <c r="G13" s="381"/>
    </row>
    <row r="14" spans="1:7" ht="15.75" thickBot="1">
      <c r="A14" s="927" t="s">
        <v>158</v>
      </c>
      <c r="B14" s="928"/>
      <c r="C14" s="928"/>
      <c r="D14" s="383">
        <v>69253.740000000005</v>
      </c>
    </row>
    <row r="15" spans="1:7" ht="15.75" thickBot="1">
      <c r="A15" s="929" t="s">
        <v>154</v>
      </c>
      <c r="B15" s="930"/>
      <c r="C15" s="382" t="s">
        <v>170</v>
      </c>
      <c r="D15" s="384">
        <v>69253.740000000005</v>
      </c>
    </row>
    <row r="16" spans="1:7" ht="15.75" thickBot="1">
      <c r="A16" s="927" t="s">
        <v>159</v>
      </c>
      <c r="B16" s="928"/>
      <c r="C16" s="928"/>
      <c r="D16" s="373">
        <v>3621162.73</v>
      </c>
      <c r="F16" s="378"/>
    </row>
    <row r="17" spans="1:6">
      <c r="A17" s="911" t="s">
        <v>154</v>
      </c>
      <c r="B17" s="912"/>
      <c r="C17" s="385" t="s">
        <v>173</v>
      </c>
      <c r="D17" s="386">
        <v>1248600</v>
      </c>
    </row>
    <row r="18" spans="1:6">
      <c r="A18" s="387"/>
      <c r="B18" s="388"/>
      <c r="C18" s="389" t="s">
        <v>172</v>
      </c>
      <c r="D18" s="390">
        <v>1183750</v>
      </c>
    </row>
    <row r="19" spans="1:6">
      <c r="A19" s="387"/>
      <c r="B19" s="388"/>
      <c r="C19" s="389" t="s">
        <v>174</v>
      </c>
      <c r="D19" s="390">
        <v>747000</v>
      </c>
    </row>
    <row r="20" spans="1:6">
      <c r="A20" s="387"/>
      <c r="B20" s="388"/>
      <c r="C20" s="389" t="s">
        <v>175</v>
      </c>
      <c r="D20" s="390">
        <v>150000</v>
      </c>
      <c r="F20" s="378"/>
    </row>
    <row r="21" spans="1:6" ht="30">
      <c r="A21" s="931"/>
      <c r="B21" s="932"/>
      <c r="C21" s="392" t="s">
        <v>176</v>
      </c>
      <c r="D21" s="390">
        <v>79987.5</v>
      </c>
    </row>
    <row r="22" spans="1:6">
      <c r="A22" s="391"/>
      <c r="B22" s="280"/>
      <c r="C22" s="392" t="s">
        <v>160</v>
      </c>
      <c r="D22" s="390">
        <v>55991.25</v>
      </c>
    </row>
    <row r="23" spans="1:6">
      <c r="A23" s="391"/>
      <c r="B23" s="280"/>
      <c r="C23" s="392" t="s">
        <v>179</v>
      </c>
      <c r="D23" s="390">
        <v>28125</v>
      </c>
    </row>
    <row r="24" spans="1:6">
      <c r="A24" s="391"/>
      <c r="B24" s="280"/>
      <c r="C24" s="392" t="s">
        <v>177</v>
      </c>
      <c r="D24" s="390">
        <v>24987.5</v>
      </c>
    </row>
    <row r="25" spans="1:6">
      <c r="A25" s="391"/>
      <c r="B25" s="280"/>
      <c r="C25" s="393" t="s">
        <v>178</v>
      </c>
      <c r="D25" s="390">
        <v>24920.799999999999</v>
      </c>
    </row>
    <row r="26" spans="1:6">
      <c r="A26" s="391"/>
      <c r="B26" s="280"/>
      <c r="C26" s="393" t="s">
        <v>179</v>
      </c>
      <c r="D26" s="390">
        <v>19750</v>
      </c>
    </row>
    <row r="27" spans="1:6">
      <c r="A27" s="931"/>
      <c r="B27" s="932"/>
      <c r="C27" s="393" t="s">
        <v>180</v>
      </c>
      <c r="D27" s="390">
        <v>19925</v>
      </c>
    </row>
    <row r="28" spans="1:6">
      <c r="A28" s="391"/>
      <c r="B28" s="280"/>
      <c r="C28" s="393" t="s">
        <v>181</v>
      </c>
      <c r="D28" s="390">
        <v>19881</v>
      </c>
    </row>
    <row r="29" spans="1:6">
      <c r="A29" s="931"/>
      <c r="B29" s="932"/>
      <c r="C29" s="393" t="s">
        <v>182</v>
      </c>
      <c r="D29" s="390">
        <v>11875</v>
      </c>
      <c r="F29" s="381"/>
    </row>
    <row r="30" spans="1:6" ht="15.75" thickBot="1">
      <c r="A30" s="931"/>
      <c r="B30" s="932"/>
      <c r="C30" s="393" t="s">
        <v>161</v>
      </c>
      <c r="D30" s="390">
        <v>6369.68</v>
      </c>
    </row>
    <row r="31" spans="1:6" ht="30" customHeight="1" thickBot="1">
      <c r="A31" s="915" t="s">
        <v>162</v>
      </c>
      <c r="B31" s="916"/>
      <c r="C31" s="916"/>
      <c r="D31" s="373">
        <v>75098.5</v>
      </c>
    </row>
    <row r="32" spans="1:6">
      <c r="A32" s="913" t="s">
        <v>154</v>
      </c>
      <c r="B32" s="914"/>
      <c r="C32" s="394" t="s">
        <v>183</v>
      </c>
      <c r="D32" s="386">
        <v>20761.32</v>
      </c>
      <c r="F32" s="378"/>
    </row>
    <row r="33" spans="1:6">
      <c r="A33" s="922"/>
      <c r="B33" s="923"/>
      <c r="C33" s="393" t="s">
        <v>184</v>
      </c>
      <c r="D33" s="390">
        <v>18228</v>
      </c>
      <c r="F33" s="381"/>
    </row>
    <row r="34" spans="1:6">
      <c r="A34" s="922"/>
      <c r="B34" s="923"/>
      <c r="C34" s="393" t="s">
        <v>185</v>
      </c>
      <c r="D34" s="390">
        <v>8731.25</v>
      </c>
    </row>
    <row r="35" spans="1:6">
      <c r="A35" s="922"/>
      <c r="B35" s="923"/>
      <c r="C35" s="393" t="s">
        <v>186</v>
      </c>
      <c r="D35" s="390">
        <v>4739.6000000000004</v>
      </c>
    </row>
    <row r="36" spans="1:6">
      <c r="A36" s="922"/>
      <c r="B36" s="923"/>
      <c r="C36" s="393" t="s">
        <v>187</v>
      </c>
      <c r="D36" s="390">
        <v>6000</v>
      </c>
    </row>
    <row r="37" spans="1:6">
      <c r="A37" s="922"/>
      <c r="B37" s="923"/>
      <c r="C37" s="393" t="s">
        <v>188</v>
      </c>
      <c r="D37" s="390">
        <v>3568</v>
      </c>
    </row>
    <row r="38" spans="1:6">
      <c r="A38" s="399"/>
      <c r="B38" s="400"/>
      <c r="C38" s="393" t="s">
        <v>193</v>
      </c>
      <c r="D38" s="390">
        <v>2845.8</v>
      </c>
    </row>
    <row r="39" spans="1:6">
      <c r="A39" s="399"/>
      <c r="B39" s="400"/>
      <c r="C39" s="393" t="s">
        <v>189</v>
      </c>
      <c r="D39" s="390">
        <v>2653.6</v>
      </c>
    </row>
    <row r="40" spans="1:6">
      <c r="A40" s="399"/>
      <c r="B40" s="400"/>
      <c r="C40" s="393" t="s">
        <v>191</v>
      </c>
      <c r="D40" s="390">
        <v>1860</v>
      </c>
    </row>
    <row r="41" spans="1:6">
      <c r="A41" s="399"/>
      <c r="B41" s="400"/>
      <c r="C41" s="393" t="s">
        <v>190</v>
      </c>
      <c r="D41" s="390">
        <v>1810.4</v>
      </c>
    </row>
    <row r="42" spans="1:6">
      <c r="A42" s="399"/>
      <c r="B42" s="400"/>
      <c r="C42" s="393" t="s">
        <v>192</v>
      </c>
      <c r="D42" s="390">
        <v>1744.03</v>
      </c>
    </row>
    <row r="43" spans="1:6" ht="15.75" thickBot="1">
      <c r="A43" s="922"/>
      <c r="B43" s="923"/>
      <c r="C43" s="393" t="s">
        <v>163</v>
      </c>
      <c r="D43" s="390">
        <v>2156.5</v>
      </c>
    </row>
    <row r="44" spans="1:6" ht="15.75" thickBot="1">
      <c r="A44" s="924" t="s">
        <v>164</v>
      </c>
      <c r="B44" s="925"/>
      <c r="C44" s="926"/>
      <c r="D44" s="373">
        <v>61547.25</v>
      </c>
      <c r="F44" s="378"/>
    </row>
    <row r="45" spans="1:6">
      <c r="A45" s="918" t="s">
        <v>154</v>
      </c>
      <c r="B45" s="919"/>
      <c r="C45" s="394" t="s">
        <v>194</v>
      </c>
      <c r="D45" s="386">
        <v>51131.25</v>
      </c>
      <c r="F45" s="381"/>
    </row>
    <row r="46" spans="1:6" ht="15.75" customHeight="1" thickBot="1">
      <c r="A46" s="920"/>
      <c r="B46" s="921"/>
      <c r="C46" s="401" t="s">
        <v>195</v>
      </c>
      <c r="D46" s="402">
        <v>10416</v>
      </c>
      <c r="F46" s="381"/>
    </row>
    <row r="47" spans="1:6" ht="30.75" customHeight="1" thickBot="1">
      <c r="A47" s="915" t="s">
        <v>196</v>
      </c>
      <c r="B47" s="916"/>
      <c r="C47" s="917"/>
      <c r="D47" s="373">
        <v>201224.1</v>
      </c>
      <c r="F47" s="381"/>
    </row>
    <row r="48" spans="1:6" ht="15.75" customHeight="1">
      <c r="A48" s="918" t="s">
        <v>154</v>
      </c>
      <c r="B48" s="919"/>
      <c r="C48" s="394" t="s">
        <v>197</v>
      </c>
      <c r="D48" s="386">
        <v>147312</v>
      </c>
      <c r="F48" s="381"/>
    </row>
    <row r="49" spans="1:6" ht="15.75" customHeight="1" thickBot="1">
      <c r="A49" s="920"/>
      <c r="B49" s="921"/>
      <c r="C49" s="401" t="s">
        <v>198</v>
      </c>
      <c r="D49" s="402">
        <v>53912.1</v>
      </c>
      <c r="F49" s="381"/>
    </row>
    <row r="50" spans="1:6" s="311" customFormat="1" ht="24.95" customHeight="1" thickBot="1">
      <c r="A50" s="395"/>
      <c r="B50" s="396"/>
      <c r="C50" s="397" t="s">
        <v>10</v>
      </c>
      <c r="D50" s="398">
        <f>SUM(D5,D7,D9,D12,D14,D16,D31,D44,D47)</f>
        <v>4513290.3099999996</v>
      </c>
    </row>
  </sheetData>
  <mergeCells count="32">
    <mergeCell ref="A2:D3"/>
    <mergeCell ref="A4:B4"/>
    <mergeCell ref="A5:C5"/>
    <mergeCell ref="A6:B6"/>
    <mergeCell ref="A9:C9"/>
    <mergeCell ref="A7:C7"/>
    <mergeCell ref="A8:B8"/>
    <mergeCell ref="A37:B37"/>
    <mergeCell ref="A21:B21"/>
    <mergeCell ref="A27:B27"/>
    <mergeCell ref="A29:B29"/>
    <mergeCell ref="A30:B30"/>
    <mergeCell ref="A31:C31"/>
    <mergeCell ref="A32:B32"/>
    <mergeCell ref="A33:B33"/>
    <mergeCell ref="A34:B34"/>
    <mergeCell ref="A17:B17"/>
    <mergeCell ref="A10:B10"/>
    <mergeCell ref="A47:C47"/>
    <mergeCell ref="A48:B48"/>
    <mergeCell ref="A49:B49"/>
    <mergeCell ref="A43:B43"/>
    <mergeCell ref="A44:C44"/>
    <mergeCell ref="A45:B45"/>
    <mergeCell ref="A46:B46"/>
    <mergeCell ref="A12:C12"/>
    <mergeCell ref="A13:B13"/>
    <mergeCell ref="A14:C14"/>
    <mergeCell ref="A15:B15"/>
    <mergeCell ref="A16:C16"/>
    <mergeCell ref="A35:B35"/>
    <mergeCell ref="A36:B36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1"/>
  <sheetViews>
    <sheetView workbookViewId="0">
      <selection activeCell="K1" sqref="K1"/>
    </sheetView>
  </sheetViews>
  <sheetFormatPr defaultRowHeight="15.75"/>
  <cols>
    <col min="1" max="1" width="35.140625" style="532" customWidth="1"/>
    <col min="2" max="9" width="14.42578125" style="532" customWidth="1"/>
    <col min="10" max="11" width="13.42578125" style="532" customWidth="1"/>
    <col min="12" max="16384" width="9.140625" style="532"/>
  </cols>
  <sheetData>
    <row r="1" spans="1:12" ht="16.5" thickBot="1">
      <c r="A1" s="941" t="s">
        <v>252</v>
      </c>
      <c r="B1" s="941"/>
      <c r="C1" s="941"/>
      <c r="D1" s="941"/>
      <c r="E1" s="941"/>
      <c r="F1" s="941"/>
      <c r="G1" s="941"/>
      <c r="H1" s="941"/>
      <c r="I1" s="941"/>
      <c r="J1" s="941"/>
      <c r="K1" s="554" t="s">
        <v>467</v>
      </c>
    </row>
    <row r="2" spans="1:12" ht="16.5" thickBot="1">
      <c r="A2" s="540"/>
      <c r="B2" s="540"/>
      <c r="C2" s="541"/>
      <c r="D2" s="541"/>
      <c r="E2" s="542"/>
      <c r="F2" s="542"/>
      <c r="G2" s="542"/>
      <c r="H2" s="542"/>
      <c r="I2" s="542"/>
      <c r="K2" s="542"/>
      <c r="L2" s="542" t="s">
        <v>253</v>
      </c>
    </row>
    <row r="3" spans="1:12" ht="36" customHeight="1" thickBot="1">
      <c r="A3" s="533" t="s">
        <v>254</v>
      </c>
      <c r="B3" s="534" t="s">
        <v>255</v>
      </c>
      <c r="C3" s="534" t="s">
        <v>256</v>
      </c>
      <c r="D3" s="534" t="s">
        <v>257</v>
      </c>
      <c r="E3" s="534" t="s">
        <v>258</v>
      </c>
      <c r="F3" s="534" t="s">
        <v>259</v>
      </c>
      <c r="G3" s="534" t="s">
        <v>260</v>
      </c>
      <c r="H3" s="534" t="s">
        <v>261</v>
      </c>
      <c r="I3" s="534" t="s">
        <v>262</v>
      </c>
      <c r="J3" s="534" t="s">
        <v>263</v>
      </c>
      <c r="K3" s="535" t="s">
        <v>264</v>
      </c>
      <c r="L3" s="535" t="s">
        <v>265</v>
      </c>
    </row>
    <row r="4" spans="1:12" ht="16.5" thickBot="1">
      <c r="A4" s="536">
        <v>0</v>
      </c>
      <c r="B4" s="537">
        <v>1</v>
      </c>
      <c r="C4" s="537">
        <v>2</v>
      </c>
      <c r="D4" s="537">
        <v>3</v>
      </c>
      <c r="E4" s="537">
        <v>4</v>
      </c>
      <c r="F4" s="537">
        <v>5</v>
      </c>
      <c r="G4" s="537">
        <v>6</v>
      </c>
      <c r="H4" s="537">
        <v>7</v>
      </c>
      <c r="I4" s="537">
        <v>8</v>
      </c>
      <c r="J4" s="538">
        <v>9</v>
      </c>
      <c r="K4" s="538">
        <v>9</v>
      </c>
      <c r="L4" s="538">
        <v>10</v>
      </c>
    </row>
    <row r="5" spans="1:12" ht="24.95" customHeight="1">
      <c r="A5" s="543" t="s">
        <v>266</v>
      </c>
      <c r="B5" s="544">
        <v>287184.55</v>
      </c>
      <c r="C5" s="544">
        <v>0</v>
      </c>
      <c r="D5" s="544">
        <v>0</v>
      </c>
      <c r="E5" s="544">
        <v>0</v>
      </c>
      <c r="F5" s="544">
        <v>0</v>
      </c>
      <c r="G5" s="544">
        <v>0</v>
      </c>
      <c r="H5" s="544">
        <v>0</v>
      </c>
      <c r="I5" s="544">
        <v>0</v>
      </c>
      <c r="J5" s="544">
        <v>0</v>
      </c>
      <c r="K5" s="544">
        <v>0</v>
      </c>
      <c r="L5" s="544">
        <v>0</v>
      </c>
    </row>
    <row r="6" spans="1:12" ht="24.95" customHeight="1">
      <c r="A6" s="545" t="s">
        <v>267</v>
      </c>
      <c r="B6" s="546">
        <v>1356602.04</v>
      </c>
      <c r="C6" s="544">
        <v>0</v>
      </c>
      <c r="D6" s="546">
        <v>0</v>
      </c>
      <c r="E6" s="546">
        <v>0</v>
      </c>
      <c r="F6" s="546">
        <v>0</v>
      </c>
      <c r="G6" s="546">
        <v>0</v>
      </c>
      <c r="H6" s="546">
        <v>0</v>
      </c>
      <c r="I6" s="546">
        <v>0</v>
      </c>
      <c r="J6" s="546">
        <v>0</v>
      </c>
      <c r="K6" s="546">
        <v>0</v>
      </c>
      <c r="L6" s="546">
        <v>0</v>
      </c>
    </row>
    <row r="7" spans="1:12" ht="24.95" customHeight="1">
      <c r="A7" s="545" t="s">
        <v>268</v>
      </c>
      <c r="B7" s="546">
        <v>304264.06</v>
      </c>
      <c r="C7" s="544">
        <v>5.81</v>
      </c>
      <c r="D7" s="546">
        <v>5.81</v>
      </c>
      <c r="E7" s="546">
        <v>0</v>
      </c>
      <c r="F7" s="546">
        <v>0</v>
      </c>
      <c r="G7" s="546">
        <v>0</v>
      </c>
      <c r="H7" s="546">
        <v>0</v>
      </c>
      <c r="I7" s="546">
        <v>0</v>
      </c>
      <c r="J7" s="546">
        <v>0</v>
      </c>
      <c r="K7" s="546">
        <v>0</v>
      </c>
      <c r="L7" s="546">
        <v>0</v>
      </c>
    </row>
    <row r="8" spans="1:12" ht="24.95" customHeight="1">
      <c r="A8" s="545" t="s">
        <v>269</v>
      </c>
      <c r="B8" s="546">
        <v>514122.53</v>
      </c>
      <c r="C8" s="544">
        <v>0</v>
      </c>
      <c r="D8" s="546">
        <v>0</v>
      </c>
      <c r="E8" s="546">
        <v>0</v>
      </c>
      <c r="F8" s="546">
        <v>0</v>
      </c>
      <c r="G8" s="546">
        <v>0</v>
      </c>
      <c r="H8" s="546">
        <v>0</v>
      </c>
      <c r="I8" s="546">
        <v>0</v>
      </c>
      <c r="J8" s="546">
        <v>0</v>
      </c>
      <c r="K8" s="546">
        <v>0</v>
      </c>
      <c r="L8" s="546">
        <v>0</v>
      </c>
    </row>
    <row r="9" spans="1:12" ht="24.95" customHeight="1">
      <c r="A9" s="545" t="s">
        <v>270</v>
      </c>
      <c r="B9" s="546">
        <v>281891.40000000002</v>
      </c>
      <c r="C9" s="544">
        <v>42866.01</v>
      </c>
      <c r="D9" s="546">
        <v>42866.01</v>
      </c>
      <c r="E9" s="546">
        <v>0</v>
      </c>
      <c r="F9" s="546">
        <v>0</v>
      </c>
      <c r="G9" s="546">
        <v>0</v>
      </c>
      <c r="H9" s="546">
        <v>0</v>
      </c>
      <c r="I9" s="546">
        <v>0</v>
      </c>
      <c r="J9" s="546">
        <v>0</v>
      </c>
      <c r="K9" s="546">
        <v>0</v>
      </c>
      <c r="L9" s="546">
        <v>53</v>
      </c>
    </row>
    <row r="10" spans="1:12" ht="24.95" customHeight="1">
      <c r="A10" s="545" t="s">
        <v>271</v>
      </c>
      <c r="B10" s="546">
        <v>720150.4</v>
      </c>
      <c r="C10" s="544">
        <v>108163.83</v>
      </c>
      <c r="D10" s="546">
        <v>108163.83</v>
      </c>
      <c r="E10" s="546">
        <v>0</v>
      </c>
      <c r="F10" s="546">
        <v>0</v>
      </c>
      <c r="G10" s="546">
        <v>0</v>
      </c>
      <c r="H10" s="546">
        <v>0</v>
      </c>
      <c r="I10" s="546">
        <v>0</v>
      </c>
      <c r="J10" s="546">
        <v>0</v>
      </c>
      <c r="K10" s="546">
        <v>0</v>
      </c>
      <c r="L10" s="546">
        <v>18</v>
      </c>
    </row>
    <row r="11" spans="1:12" ht="24.95" customHeight="1">
      <c r="A11" s="545" t="s">
        <v>272</v>
      </c>
      <c r="B11" s="546">
        <v>190823.75</v>
      </c>
      <c r="C11" s="544">
        <v>0</v>
      </c>
      <c r="D11" s="546">
        <v>0</v>
      </c>
      <c r="E11" s="546">
        <v>0</v>
      </c>
      <c r="F11" s="546">
        <v>0</v>
      </c>
      <c r="G11" s="546">
        <v>0</v>
      </c>
      <c r="H11" s="546">
        <v>0</v>
      </c>
      <c r="I11" s="546">
        <v>0</v>
      </c>
      <c r="J11" s="546">
        <v>0</v>
      </c>
      <c r="K11" s="546">
        <v>0</v>
      </c>
      <c r="L11" s="546">
        <v>0</v>
      </c>
    </row>
    <row r="12" spans="1:12" ht="24.95" customHeight="1">
      <c r="A12" s="545" t="s">
        <v>273</v>
      </c>
      <c r="B12" s="546">
        <v>3758613.66</v>
      </c>
      <c r="C12" s="544">
        <v>0</v>
      </c>
      <c r="D12" s="546">
        <v>0</v>
      </c>
      <c r="E12" s="546">
        <v>0</v>
      </c>
      <c r="F12" s="546">
        <v>0</v>
      </c>
      <c r="G12" s="546">
        <v>0</v>
      </c>
      <c r="H12" s="546">
        <v>0</v>
      </c>
      <c r="I12" s="546">
        <v>0</v>
      </c>
      <c r="J12" s="546">
        <v>0</v>
      </c>
      <c r="K12" s="546">
        <v>0</v>
      </c>
      <c r="L12" s="546">
        <v>0</v>
      </c>
    </row>
    <row r="13" spans="1:12" ht="24.95" customHeight="1">
      <c r="A13" s="545" t="s">
        <v>274</v>
      </c>
      <c r="B13" s="546">
        <v>49522.78</v>
      </c>
      <c r="C13" s="544">
        <v>0</v>
      </c>
      <c r="D13" s="546">
        <v>0</v>
      </c>
      <c r="E13" s="546">
        <v>0</v>
      </c>
      <c r="F13" s="546">
        <v>0</v>
      </c>
      <c r="G13" s="546">
        <v>0</v>
      </c>
      <c r="H13" s="546">
        <v>0</v>
      </c>
      <c r="I13" s="546">
        <v>0</v>
      </c>
      <c r="J13" s="546">
        <v>0</v>
      </c>
      <c r="K13" s="546">
        <v>0</v>
      </c>
      <c r="L13" s="546">
        <v>0</v>
      </c>
    </row>
    <row r="14" spans="1:12" ht="24.95" customHeight="1">
      <c r="A14" s="545" t="s">
        <v>275</v>
      </c>
      <c r="B14" s="546">
        <v>2361937.5</v>
      </c>
      <c r="C14" s="544">
        <v>0</v>
      </c>
      <c r="D14" s="546">
        <v>0</v>
      </c>
      <c r="E14" s="546">
        <v>0</v>
      </c>
      <c r="F14" s="546">
        <v>0</v>
      </c>
      <c r="G14" s="546">
        <v>0</v>
      </c>
      <c r="H14" s="546">
        <v>0</v>
      </c>
      <c r="I14" s="546">
        <v>0</v>
      </c>
      <c r="J14" s="546">
        <v>0</v>
      </c>
      <c r="K14" s="546">
        <v>0</v>
      </c>
      <c r="L14" s="546">
        <v>0</v>
      </c>
    </row>
    <row r="15" spans="1:12" ht="24.95" customHeight="1">
      <c r="A15" s="545" t="s">
        <v>276</v>
      </c>
      <c r="B15" s="546">
        <v>226681.3</v>
      </c>
      <c r="C15" s="544">
        <v>0</v>
      </c>
      <c r="D15" s="546">
        <v>0</v>
      </c>
      <c r="E15" s="546">
        <v>0</v>
      </c>
      <c r="F15" s="546">
        <v>0</v>
      </c>
      <c r="G15" s="546">
        <v>0</v>
      </c>
      <c r="H15" s="546">
        <v>0</v>
      </c>
      <c r="I15" s="546">
        <v>0</v>
      </c>
      <c r="J15" s="546">
        <v>0</v>
      </c>
      <c r="K15" s="546">
        <v>0</v>
      </c>
      <c r="L15" s="546">
        <v>0</v>
      </c>
    </row>
    <row r="16" spans="1:12" ht="24.95" customHeight="1" thickBot="1">
      <c r="A16" s="547" t="s">
        <v>277</v>
      </c>
      <c r="B16" s="548">
        <v>2383681.69</v>
      </c>
      <c r="C16" s="544">
        <f t="shared" ref="C16" si="0">SUM(D16:K16)</f>
        <v>0</v>
      </c>
      <c r="D16" s="548">
        <v>0</v>
      </c>
      <c r="E16" s="548">
        <v>0</v>
      </c>
      <c r="F16" s="548">
        <v>0</v>
      </c>
      <c r="G16" s="548">
        <v>0</v>
      </c>
      <c r="H16" s="548">
        <v>0</v>
      </c>
      <c r="I16" s="548">
        <v>0</v>
      </c>
      <c r="J16" s="548">
        <v>0</v>
      </c>
      <c r="K16" s="548">
        <v>0</v>
      </c>
      <c r="L16" s="548">
        <v>0</v>
      </c>
    </row>
    <row r="17" spans="1:12" ht="24.95" customHeight="1" thickBot="1">
      <c r="A17" s="549" t="s">
        <v>278</v>
      </c>
      <c r="B17" s="550">
        <f>SUM(B5:B16)</f>
        <v>12435475.660000002</v>
      </c>
      <c r="C17" s="550">
        <f>SUM(C5:C16)</f>
        <v>151035.65</v>
      </c>
      <c r="D17" s="550">
        <f t="shared" ref="D17:J17" si="1">SUM(D5:D16)</f>
        <v>151035.65</v>
      </c>
      <c r="E17" s="550">
        <f t="shared" si="1"/>
        <v>0</v>
      </c>
      <c r="F17" s="550">
        <f t="shared" si="1"/>
        <v>0</v>
      </c>
      <c r="G17" s="550">
        <f t="shared" si="1"/>
        <v>0</v>
      </c>
      <c r="H17" s="550">
        <f t="shared" si="1"/>
        <v>0</v>
      </c>
      <c r="I17" s="550">
        <f t="shared" si="1"/>
        <v>0</v>
      </c>
      <c r="J17" s="550">
        <f t="shared" si="1"/>
        <v>0</v>
      </c>
      <c r="K17" s="550">
        <f>SUM(K5:K16)</f>
        <v>0</v>
      </c>
      <c r="L17" s="550">
        <f>SUM(L5:L16)</f>
        <v>71</v>
      </c>
    </row>
    <row r="18" spans="1:12">
      <c r="A18" s="551"/>
    </row>
    <row r="19" spans="1:12">
      <c r="A19" s="551" t="s">
        <v>279</v>
      </c>
    </row>
    <row r="21" spans="1:12">
      <c r="A21" s="552" t="s">
        <v>280</v>
      </c>
      <c r="B21" s="553"/>
      <c r="C21" s="553"/>
      <c r="D21" s="553"/>
      <c r="E21" s="553"/>
    </row>
  </sheetData>
  <mergeCells count="1">
    <mergeCell ref="A1:J1"/>
  </mergeCells>
  <pageMargins left="0.45" right="0.4" top="0.64" bottom="0.64" header="0.3" footer="0.3"/>
  <pageSetup paperSize="9" scale="7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2"/>
  <sheetViews>
    <sheetView workbookViewId="0">
      <selection activeCell="G2" sqref="G2"/>
    </sheetView>
  </sheetViews>
  <sheetFormatPr defaultRowHeight="15.75"/>
  <cols>
    <col min="1" max="1" width="5.42578125" style="532" customWidth="1"/>
    <col min="2" max="2" width="45" style="532" customWidth="1"/>
    <col min="3" max="3" width="14" style="532" customWidth="1"/>
    <col min="4" max="6" width="14.5703125" style="532" customWidth="1"/>
    <col min="7" max="7" width="13.85546875" style="532" customWidth="1"/>
    <col min="8" max="8" width="12.85546875" style="532" customWidth="1"/>
    <col min="9" max="9" width="13.7109375" style="532" customWidth="1"/>
    <col min="10" max="10" width="13.140625" style="532" customWidth="1"/>
    <col min="11" max="14" width="9.140625" style="532"/>
    <col min="15" max="15" width="10.7109375" style="532" bestFit="1" customWidth="1"/>
    <col min="16" max="16384" width="9.140625" style="532"/>
  </cols>
  <sheetData>
    <row r="1" spans="1:15" ht="16.5" thickBot="1">
      <c r="A1" s="777" t="s">
        <v>468</v>
      </c>
      <c r="L1" s="554" t="s">
        <v>494</v>
      </c>
      <c r="M1" s="554"/>
    </row>
    <row r="2" spans="1:15" ht="16.5" thickBot="1">
      <c r="A2" s="778" t="s">
        <v>469</v>
      </c>
      <c r="B2" s="779"/>
    </row>
    <row r="3" spans="1:15">
      <c r="A3" s="942" t="s">
        <v>470</v>
      </c>
      <c r="B3" s="942"/>
      <c r="C3" s="942"/>
      <c r="D3" s="942"/>
      <c r="E3" s="942"/>
      <c r="F3" s="942"/>
      <c r="G3" s="942"/>
      <c r="H3" s="942"/>
      <c r="I3" s="942"/>
      <c r="J3" s="942"/>
    </row>
    <row r="4" spans="1:15">
      <c r="A4" s="780"/>
    </row>
    <row r="5" spans="1:15">
      <c r="A5" s="781"/>
      <c r="B5" s="781"/>
      <c r="C5" s="781"/>
      <c r="D5" s="781"/>
      <c r="E5" s="781"/>
      <c r="F5" s="781"/>
      <c r="G5" s="781"/>
      <c r="H5" s="781"/>
      <c r="I5" s="542"/>
      <c r="M5" s="542" t="s">
        <v>253</v>
      </c>
    </row>
    <row r="6" spans="1:15" ht="46.5" customHeight="1">
      <c r="A6" s="782" t="s">
        <v>249</v>
      </c>
      <c r="B6" s="782" t="s">
        <v>254</v>
      </c>
      <c r="C6" s="782" t="s">
        <v>471</v>
      </c>
      <c r="D6" s="782" t="s">
        <v>472</v>
      </c>
      <c r="E6" s="782" t="s">
        <v>473</v>
      </c>
      <c r="F6" s="782" t="s">
        <v>474</v>
      </c>
      <c r="G6" s="782" t="s">
        <v>475</v>
      </c>
      <c r="H6" s="782" t="s">
        <v>476</v>
      </c>
      <c r="I6" s="782" t="s">
        <v>477</v>
      </c>
      <c r="J6" s="782" t="s">
        <v>478</v>
      </c>
      <c r="K6" s="782" t="s">
        <v>479</v>
      </c>
      <c r="L6" s="782" t="s">
        <v>480</v>
      </c>
      <c r="M6" s="782" t="s">
        <v>481</v>
      </c>
    </row>
    <row r="7" spans="1:15">
      <c r="A7" s="539"/>
      <c r="B7" s="539">
        <v>0</v>
      </c>
      <c r="C7" s="539">
        <v>1</v>
      </c>
      <c r="D7" s="539">
        <v>2</v>
      </c>
      <c r="E7" s="539">
        <v>3</v>
      </c>
      <c r="F7" s="539">
        <v>4</v>
      </c>
      <c r="G7" s="539">
        <v>5</v>
      </c>
      <c r="H7" s="539">
        <v>6</v>
      </c>
      <c r="I7" s="539">
        <v>7</v>
      </c>
      <c r="J7" s="539">
        <v>8</v>
      </c>
      <c r="K7" s="539">
        <v>9</v>
      </c>
      <c r="L7" s="539">
        <v>10</v>
      </c>
      <c r="M7" s="539">
        <v>11</v>
      </c>
    </row>
    <row r="8" spans="1:15" ht="27.95" customHeight="1">
      <c r="A8" s="783">
        <v>1</v>
      </c>
      <c r="B8" s="784" t="s">
        <v>482</v>
      </c>
      <c r="C8" s="784">
        <v>1568730.44</v>
      </c>
      <c r="D8" s="784">
        <f t="shared" ref="D8:D12" si="0">SUM(E8:L8)</f>
        <v>0</v>
      </c>
      <c r="E8" s="784">
        <v>0</v>
      </c>
      <c r="F8" s="784">
        <v>0</v>
      </c>
      <c r="G8" s="784">
        <v>0</v>
      </c>
      <c r="H8" s="784">
        <v>0</v>
      </c>
      <c r="I8" s="784">
        <v>0</v>
      </c>
      <c r="J8" s="784">
        <v>0</v>
      </c>
      <c r="K8" s="784">
        <v>0</v>
      </c>
      <c r="L8" s="784">
        <v>0</v>
      </c>
      <c r="M8" s="784">
        <v>0</v>
      </c>
    </row>
    <row r="9" spans="1:15" ht="27.95" customHeight="1">
      <c r="A9" s="783">
        <v>2</v>
      </c>
      <c r="B9" s="784" t="s">
        <v>483</v>
      </c>
      <c r="C9" s="784">
        <v>255098.4</v>
      </c>
      <c r="D9" s="784">
        <f t="shared" si="0"/>
        <v>0</v>
      </c>
      <c r="E9" s="784">
        <v>0</v>
      </c>
      <c r="F9" s="784">
        <v>0</v>
      </c>
      <c r="G9" s="784">
        <v>0</v>
      </c>
      <c r="H9" s="784">
        <v>0</v>
      </c>
      <c r="I9" s="784">
        <v>0</v>
      </c>
      <c r="J9" s="784">
        <v>0</v>
      </c>
      <c r="K9" s="784">
        <v>0</v>
      </c>
      <c r="L9" s="784">
        <v>0</v>
      </c>
      <c r="M9" s="784">
        <v>0</v>
      </c>
    </row>
    <row r="10" spans="1:15" ht="27.95" customHeight="1">
      <c r="A10" s="783">
        <v>3</v>
      </c>
      <c r="B10" s="784" t="s">
        <v>484</v>
      </c>
      <c r="C10" s="784">
        <v>876951.22</v>
      </c>
      <c r="D10" s="784">
        <f t="shared" si="0"/>
        <v>0</v>
      </c>
      <c r="E10" s="784">
        <v>0</v>
      </c>
      <c r="F10" s="784">
        <v>0</v>
      </c>
      <c r="G10" s="784">
        <v>0</v>
      </c>
      <c r="H10" s="784">
        <v>0</v>
      </c>
      <c r="I10" s="784">
        <v>0</v>
      </c>
      <c r="J10" s="784">
        <v>0</v>
      </c>
      <c r="K10" s="784">
        <v>0</v>
      </c>
      <c r="L10" s="784">
        <v>0</v>
      </c>
      <c r="M10" s="784">
        <v>0</v>
      </c>
    </row>
    <row r="11" spans="1:15" ht="27.95" customHeight="1">
      <c r="A11" s="783">
        <v>4</v>
      </c>
      <c r="B11" s="784" t="s">
        <v>485</v>
      </c>
      <c r="C11" s="784">
        <v>5068.08</v>
      </c>
      <c r="D11" s="784">
        <f t="shared" si="0"/>
        <v>0</v>
      </c>
      <c r="E11" s="784">
        <v>0</v>
      </c>
      <c r="F11" s="784">
        <v>0</v>
      </c>
      <c r="G11" s="784">
        <v>0</v>
      </c>
      <c r="H11" s="784">
        <v>0</v>
      </c>
      <c r="I11" s="784">
        <v>0</v>
      </c>
      <c r="J11" s="784">
        <v>0</v>
      </c>
      <c r="K11" s="784">
        <v>0</v>
      </c>
      <c r="L11" s="784">
        <v>0</v>
      </c>
      <c r="M11" s="784">
        <v>0</v>
      </c>
    </row>
    <row r="12" spans="1:15" ht="27.95" customHeight="1">
      <c r="A12" s="783">
        <v>5</v>
      </c>
      <c r="B12" s="784" t="s">
        <v>486</v>
      </c>
      <c r="C12" s="784">
        <v>20580.740000000002</v>
      </c>
      <c r="D12" s="784">
        <f t="shared" si="0"/>
        <v>0</v>
      </c>
      <c r="E12" s="784">
        <v>0</v>
      </c>
      <c r="F12" s="784">
        <v>0</v>
      </c>
      <c r="G12" s="784">
        <v>0</v>
      </c>
      <c r="H12" s="784">
        <v>0</v>
      </c>
      <c r="I12" s="784">
        <v>0</v>
      </c>
      <c r="J12" s="784">
        <v>0</v>
      </c>
      <c r="K12" s="784">
        <v>0</v>
      </c>
      <c r="L12" s="784">
        <v>0</v>
      </c>
      <c r="M12" s="784">
        <v>0</v>
      </c>
    </row>
    <row r="13" spans="1:15" ht="27.95" customHeight="1">
      <c r="A13" s="783">
        <v>6</v>
      </c>
      <c r="B13" s="784" t="s">
        <v>487</v>
      </c>
      <c r="C13" s="784">
        <v>714074.56</v>
      </c>
      <c r="D13" s="784">
        <v>179207.66</v>
      </c>
      <c r="E13" s="784">
        <v>76979.679999999993</v>
      </c>
      <c r="F13" s="784">
        <v>25404.3</v>
      </c>
      <c r="G13" s="784">
        <v>6716.23</v>
      </c>
      <c r="H13" s="784">
        <v>161.44</v>
      </c>
      <c r="I13" s="784">
        <v>24565.07</v>
      </c>
      <c r="J13" s="784">
        <v>14011.63</v>
      </c>
      <c r="K13" s="784">
        <v>12789.29</v>
      </c>
      <c r="L13" s="784">
        <v>18580.02</v>
      </c>
      <c r="M13" s="784">
        <v>4505</v>
      </c>
      <c r="O13" s="785"/>
    </row>
    <row r="14" spans="1:15" ht="27.95" customHeight="1">
      <c r="A14" s="786"/>
      <c r="B14" s="787" t="s">
        <v>488</v>
      </c>
      <c r="C14" s="786">
        <f>SUM(C8:C13)</f>
        <v>3440503.44</v>
      </c>
      <c r="D14" s="786">
        <f t="shared" ref="D14:J14" si="1">SUM(D8:D13)</f>
        <v>179207.66</v>
      </c>
      <c r="E14" s="786">
        <f t="shared" si="1"/>
        <v>76979.679999999993</v>
      </c>
      <c r="F14" s="786">
        <f t="shared" si="1"/>
        <v>25404.3</v>
      </c>
      <c r="G14" s="786">
        <f t="shared" si="1"/>
        <v>6716.23</v>
      </c>
      <c r="H14" s="786">
        <f t="shared" si="1"/>
        <v>161.44</v>
      </c>
      <c r="I14" s="786">
        <f t="shared" si="1"/>
        <v>24565.07</v>
      </c>
      <c r="J14" s="786">
        <f t="shared" si="1"/>
        <v>14011.63</v>
      </c>
      <c r="K14" s="786">
        <f>SUM(K8:K13)</f>
        <v>12789.29</v>
      </c>
      <c r="L14" s="786">
        <f>SUM(L8:L13)</f>
        <v>18580.02</v>
      </c>
      <c r="M14" s="786">
        <f>SUM(M8:M13)</f>
        <v>4505</v>
      </c>
    </row>
    <row r="15" spans="1:15">
      <c r="A15" s="788"/>
    </row>
    <row r="16" spans="1:15">
      <c r="A16" s="789" t="s">
        <v>489</v>
      </c>
      <c r="B16" s="790"/>
    </row>
    <row r="17" spans="1:2">
      <c r="A17" s="789" t="s">
        <v>490</v>
      </c>
      <c r="B17" s="790"/>
    </row>
    <row r="18" spans="1:2">
      <c r="A18" s="551"/>
      <c r="B18" s="790"/>
    </row>
    <row r="19" spans="1:2">
      <c r="A19" s="551" t="s">
        <v>491</v>
      </c>
      <c r="B19" s="790"/>
    </row>
    <row r="20" spans="1:2">
      <c r="A20" s="791" t="s">
        <v>492</v>
      </c>
      <c r="B20" s="790"/>
    </row>
    <row r="22" spans="1:2">
      <c r="A22" s="552" t="s">
        <v>493</v>
      </c>
    </row>
  </sheetData>
  <mergeCells count="1">
    <mergeCell ref="A3:J3"/>
  </mergeCells>
  <pageMargins left="0.45" right="0.38" top="0.75" bottom="0.75" header="0.3" footer="0.3"/>
  <pageSetup paperSize="9" scale="73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X59"/>
  <sheetViews>
    <sheetView zoomScale="98" zoomScaleNormal="98" workbookViewId="0">
      <selection activeCell="K1" sqref="K1"/>
    </sheetView>
  </sheetViews>
  <sheetFormatPr defaultRowHeight="15"/>
  <cols>
    <col min="1" max="1" width="11.28515625" bestFit="1" customWidth="1"/>
    <col min="2" max="2" width="16" customWidth="1"/>
    <col min="3" max="3" width="15.7109375" customWidth="1"/>
    <col min="4" max="5" width="15.85546875" customWidth="1"/>
    <col min="6" max="6" width="16.7109375" customWidth="1"/>
    <col min="7" max="7" width="17.7109375" customWidth="1"/>
    <col min="8" max="8" width="7.7109375" style="8" bestFit="1" customWidth="1"/>
    <col min="9" max="9" width="13.42578125" bestFit="1" customWidth="1"/>
    <col min="10" max="10" width="1.28515625" customWidth="1"/>
    <col min="11" max="12" width="14.7109375" customWidth="1"/>
    <col min="13" max="13" width="10.28515625" customWidth="1"/>
    <col min="14" max="14" width="14" customWidth="1"/>
    <col min="15" max="21" width="14.7109375" customWidth="1"/>
    <col min="22" max="22" width="16.5703125" bestFit="1" customWidth="1"/>
    <col min="23" max="23" width="6.140625" customWidth="1"/>
    <col min="24" max="24" width="14.7109375" customWidth="1"/>
  </cols>
  <sheetData>
    <row r="1" spans="1:24" ht="19.5" thickBot="1">
      <c r="A1" s="4" t="s">
        <v>0</v>
      </c>
      <c r="B1" s="4"/>
      <c r="C1" s="4"/>
      <c r="D1" s="5"/>
      <c r="E1" s="4"/>
      <c r="F1" s="6" t="s">
        <v>1</v>
      </c>
      <c r="G1" s="7"/>
      <c r="I1" s="9"/>
      <c r="J1" s="9"/>
      <c r="K1" s="9"/>
      <c r="L1" s="270" t="s">
        <v>86</v>
      </c>
    </row>
    <row r="2" spans="1:24" ht="15.75" thickBot="1">
      <c r="A2" s="11" t="s">
        <v>2</v>
      </c>
      <c r="B2" s="11"/>
      <c r="C2" s="11"/>
      <c r="D2" s="12"/>
      <c r="E2" s="10"/>
      <c r="F2" s="10"/>
      <c r="G2" s="13"/>
      <c r="H2" s="14"/>
      <c r="I2" s="9"/>
      <c r="J2" s="9"/>
      <c r="K2" s="801" t="s">
        <v>3</v>
      </c>
      <c r="L2" s="802"/>
    </row>
    <row r="3" spans="1:24" ht="45.75" thickBot="1">
      <c r="A3" s="15" t="s">
        <v>4</v>
      </c>
      <c r="B3" s="16" t="s">
        <v>5</v>
      </c>
      <c r="C3" s="17" t="s">
        <v>6</v>
      </c>
      <c r="D3" s="18" t="s">
        <v>7</v>
      </c>
      <c r="E3" s="19" t="s">
        <v>8</v>
      </c>
      <c r="F3" s="20" t="s">
        <v>9</v>
      </c>
      <c r="G3" s="21" t="s">
        <v>10</v>
      </c>
      <c r="H3" s="22" t="s">
        <v>11</v>
      </c>
      <c r="I3" s="23" t="s">
        <v>12</v>
      </c>
      <c r="J3" s="24"/>
      <c r="K3" s="25" t="s">
        <v>13</v>
      </c>
      <c r="L3" s="26" t="s">
        <v>14</v>
      </c>
      <c r="N3" s="27" t="s">
        <v>15</v>
      </c>
      <c r="O3" s="28" t="s">
        <v>16</v>
      </c>
      <c r="P3" s="28" t="s">
        <v>17</v>
      </c>
      <c r="Q3" s="29" t="s">
        <v>18</v>
      </c>
      <c r="R3" s="30" t="s">
        <v>19</v>
      </c>
      <c r="S3" s="28" t="s">
        <v>20</v>
      </c>
      <c r="T3" s="30" t="s">
        <v>21</v>
      </c>
      <c r="U3" s="28" t="s">
        <v>22</v>
      </c>
      <c r="V3" s="31" t="s">
        <v>23</v>
      </c>
      <c r="W3" s="22" t="s">
        <v>11</v>
      </c>
      <c r="X3" s="32" t="s">
        <v>24</v>
      </c>
    </row>
    <row r="4" spans="1:24" ht="15" customHeight="1">
      <c r="A4" s="33" t="s">
        <v>25</v>
      </c>
      <c r="B4" s="34"/>
      <c r="C4" s="35"/>
      <c r="D4" s="36"/>
      <c r="E4" s="37"/>
      <c r="F4" s="38"/>
      <c r="G4" s="39"/>
      <c r="H4" s="40"/>
      <c r="I4" s="40"/>
      <c r="J4" s="41"/>
      <c r="K4" s="42"/>
      <c r="L4" s="43" t="s">
        <v>26</v>
      </c>
      <c r="M4" s="44"/>
      <c r="N4" s="45" t="s">
        <v>25</v>
      </c>
      <c r="O4" s="46"/>
      <c r="P4" s="46"/>
      <c r="Q4" s="47"/>
      <c r="R4" s="48"/>
      <c r="S4" s="46"/>
      <c r="T4" s="48"/>
      <c r="U4" s="46"/>
      <c r="V4" s="49"/>
      <c r="W4" s="50"/>
      <c r="X4" s="51"/>
    </row>
    <row r="5" spans="1:24" ht="15" customHeight="1">
      <c r="A5" s="52" t="s">
        <v>27</v>
      </c>
      <c r="B5" s="53"/>
      <c r="C5" s="54"/>
      <c r="D5" s="55"/>
      <c r="E5" s="56"/>
      <c r="F5" s="57"/>
      <c r="G5" s="58">
        <v>2913898.48</v>
      </c>
      <c r="H5" s="59"/>
      <c r="I5" s="59"/>
      <c r="J5" s="60"/>
      <c r="K5" s="61">
        <v>0</v>
      </c>
      <c r="L5" s="62">
        <v>653272.53</v>
      </c>
      <c r="M5" s="44"/>
      <c r="N5" s="52" t="s">
        <v>27</v>
      </c>
      <c r="O5" s="63">
        <v>256865.14</v>
      </c>
      <c r="P5" s="63">
        <v>334409.8</v>
      </c>
      <c r="Q5" s="64">
        <v>85180.800000000003</v>
      </c>
      <c r="R5" s="65">
        <v>102075.6</v>
      </c>
      <c r="S5" s="63">
        <v>113455.5</v>
      </c>
      <c r="T5" s="65">
        <v>1020.2</v>
      </c>
      <c r="U5" s="63">
        <v>197.88</v>
      </c>
      <c r="V5" s="66">
        <f>O5+P5+Q5+R5+S5+T5+U5</f>
        <v>893204.91999999993</v>
      </c>
      <c r="W5" s="67"/>
      <c r="X5" s="68"/>
    </row>
    <row r="6" spans="1:24" ht="15" customHeight="1">
      <c r="A6" s="52" t="s">
        <v>28</v>
      </c>
      <c r="B6" s="53"/>
      <c r="C6" s="54"/>
      <c r="D6" s="55"/>
      <c r="E6" s="56"/>
      <c r="F6" s="57"/>
      <c r="G6" s="58">
        <v>3205288.33</v>
      </c>
      <c r="H6" s="59"/>
      <c r="I6" s="59"/>
      <c r="J6" s="69"/>
      <c r="K6" s="61"/>
      <c r="L6" s="62"/>
      <c r="M6" s="44"/>
      <c r="N6" s="52" t="s">
        <v>28</v>
      </c>
      <c r="O6" s="63">
        <v>266974.32</v>
      </c>
      <c r="P6" s="63">
        <v>347572.19</v>
      </c>
      <c r="Q6" s="64">
        <v>88532.4</v>
      </c>
      <c r="R6" s="65">
        <v>105360.2</v>
      </c>
      <c r="S6" s="63">
        <v>82269</v>
      </c>
      <c r="T6" s="65">
        <v>1060.3499999999999</v>
      </c>
      <c r="U6" s="63">
        <v>205.68</v>
      </c>
      <c r="V6" s="66">
        <f>O6+P6+Q6+R6+S6+T6+U6</f>
        <v>891974.14</v>
      </c>
      <c r="W6" s="67"/>
      <c r="X6" s="68"/>
    </row>
    <row r="7" spans="1:24" ht="15" customHeight="1">
      <c r="A7" s="52" t="s">
        <v>29</v>
      </c>
      <c r="B7" s="53"/>
      <c r="C7" s="54"/>
      <c r="D7" s="55"/>
      <c r="E7" s="56"/>
      <c r="F7" s="57"/>
      <c r="G7" s="58">
        <v>3429658.51</v>
      </c>
      <c r="H7" s="59"/>
      <c r="I7" s="59"/>
      <c r="J7" s="69"/>
      <c r="K7" s="61"/>
      <c r="L7" s="62"/>
      <c r="M7" s="44"/>
      <c r="N7" s="52" t="s">
        <v>30</v>
      </c>
      <c r="O7" s="63">
        <v>283009.91999999998</v>
      </c>
      <c r="P7" s="63">
        <v>368449.39</v>
      </c>
      <c r="Q7" s="64">
        <v>93852.4</v>
      </c>
      <c r="R7" s="65">
        <v>112464</v>
      </c>
      <c r="S7" s="63">
        <v>87210</v>
      </c>
      <c r="T7" s="65">
        <v>1124</v>
      </c>
      <c r="U7" s="63">
        <v>218.02</v>
      </c>
      <c r="V7" s="66">
        <f>O7+P7+Q7+R7+S7+T7+U7</f>
        <v>946327.7300000001</v>
      </c>
      <c r="W7" s="67"/>
      <c r="X7" s="68"/>
    </row>
    <row r="8" spans="1:24" ht="15" customHeight="1">
      <c r="A8" s="52"/>
      <c r="B8" s="53"/>
      <c r="C8" s="54"/>
      <c r="D8" s="55"/>
      <c r="E8" s="56"/>
      <c r="F8" s="57"/>
      <c r="G8" s="58"/>
      <c r="H8" s="59"/>
      <c r="I8" s="59"/>
      <c r="J8" s="69"/>
      <c r="K8" s="61"/>
      <c r="L8" s="62"/>
      <c r="M8" s="44"/>
      <c r="N8" s="52" t="s">
        <v>31</v>
      </c>
      <c r="O8" s="63">
        <v>1265046.1299999999</v>
      </c>
      <c r="P8" s="63">
        <v>368449.39</v>
      </c>
      <c r="Q8" s="64">
        <v>93852.4</v>
      </c>
      <c r="R8" s="65">
        <v>112464</v>
      </c>
      <c r="S8" s="63">
        <v>87210</v>
      </c>
      <c r="T8" s="65">
        <v>9092.7999999999993</v>
      </c>
      <c r="U8" s="63">
        <v>997.03</v>
      </c>
      <c r="V8" s="66">
        <f>O8+P8+Q8+R8+S8+T8+U8</f>
        <v>1937111.75</v>
      </c>
      <c r="W8" s="67"/>
      <c r="X8" s="68"/>
    </row>
    <row r="9" spans="1:24" ht="15" customHeight="1" thickBot="1">
      <c r="A9" s="70"/>
      <c r="B9" s="71"/>
      <c r="C9" s="72"/>
      <c r="D9" s="73"/>
      <c r="E9" s="74"/>
      <c r="F9" s="75"/>
      <c r="G9" s="76"/>
      <c r="H9" s="77"/>
      <c r="I9" s="77"/>
      <c r="J9" s="78"/>
      <c r="K9" s="79"/>
      <c r="L9" s="80"/>
      <c r="M9" s="44"/>
      <c r="N9" s="70"/>
      <c r="O9" s="81"/>
      <c r="P9" s="82"/>
      <c r="Q9" s="83"/>
      <c r="R9" s="84"/>
      <c r="S9" s="81"/>
      <c r="T9" s="84"/>
      <c r="U9" s="81"/>
      <c r="V9" s="82"/>
      <c r="W9" s="85"/>
      <c r="X9" s="86"/>
    </row>
    <row r="10" spans="1:24">
      <c r="A10" s="87" t="s">
        <v>32</v>
      </c>
      <c r="B10" s="88">
        <f>1730549.18-E10-V10</f>
        <v>1064115.1999999997</v>
      </c>
      <c r="C10" s="89">
        <v>971063.47</v>
      </c>
      <c r="D10" s="90">
        <v>663654.9</v>
      </c>
      <c r="E10" s="91">
        <v>2099.5500000000002</v>
      </c>
      <c r="F10" s="92">
        <f t="shared" ref="F10:F21" si="0">SUM(C10:E10)</f>
        <v>1636817.9200000002</v>
      </c>
      <c r="G10" s="93">
        <f>F10+B10</f>
        <v>2700933.1200000001</v>
      </c>
      <c r="H10" s="94">
        <f>G10/G5*100</f>
        <v>92.691393970595712</v>
      </c>
      <c r="I10" s="95">
        <f>G10-G5</f>
        <v>-212965.35999999987</v>
      </c>
      <c r="J10" s="96"/>
      <c r="K10" s="97">
        <v>0</v>
      </c>
      <c r="L10" s="98">
        <v>151971.65</v>
      </c>
      <c r="M10" s="99"/>
      <c r="N10" s="87" t="s">
        <v>32</v>
      </c>
      <c r="O10" s="100">
        <f>252912.43+57592.91+911.84</f>
        <v>311417.18</v>
      </c>
      <c r="P10" s="101">
        <f>37483.39+3909.05+207851.32</f>
        <v>249243.76</v>
      </c>
      <c r="Q10" s="102">
        <v>58246.67</v>
      </c>
      <c r="R10" s="100">
        <v>6866.43</v>
      </c>
      <c r="S10" s="103">
        <v>35092.050000000003</v>
      </c>
      <c r="T10" s="103">
        <v>3145.28</v>
      </c>
      <c r="U10" s="103">
        <v>323.06</v>
      </c>
      <c r="V10" s="104">
        <f>SUM(O10:U10)</f>
        <v>664334.43000000017</v>
      </c>
      <c r="W10" s="105">
        <f>V10/V5*100</f>
        <v>74.376485745286786</v>
      </c>
      <c r="X10" s="106">
        <f>V10-V5</f>
        <v>-228870.48999999976</v>
      </c>
    </row>
    <row r="11" spans="1:24" ht="15" customHeight="1">
      <c r="A11" s="107" t="s">
        <v>33</v>
      </c>
      <c r="B11" s="88">
        <f>1769828.46-E11-V11</f>
        <v>1176359.5900000001</v>
      </c>
      <c r="C11" s="108">
        <v>1204211.0900000001</v>
      </c>
      <c r="D11" s="90">
        <v>827979.6</v>
      </c>
      <c r="E11" s="91">
        <v>115.48</v>
      </c>
      <c r="F11" s="92">
        <f t="shared" si="0"/>
        <v>2032306.17</v>
      </c>
      <c r="G11" s="93">
        <f t="shared" ref="G11:G21" si="1">F11+B11</f>
        <v>3208665.76</v>
      </c>
      <c r="H11" s="94">
        <f>G11/G5*100</f>
        <v>110.11590767568538</v>
      </c>
      <c r="I11" s="95">
        <f>G11-G5</f>
        <v>294767.2799999998</v>
      </c>
      <c r="J11" s="96"/>
      <c r="K11" s="109">
        <v>0</v>
      </c>
      <c r="L11" s="110">
        <v>119524.99</v>
      </c>
      <c r="M11" s="99"/>
      <c r="N11" s="107" t="s">
        <v>33</v>
      </c>
      <c r="O11" s="100">
        <f>308276.84+75004.71</f>
        <v>383281.55000000005</v>
      </c>
      <c r="P11" s="101">
        <f>13290.75+2084.83+69553.36</f>
        <v>84928.94</v>
      </c>
      <c r="Q11" s="102">
        <v>70134.3</v>
      </c>
      <c r="R11" s="100">
        <v>185.59</v>
      </c>
      <c r="S11" s="103">
        <v>51714.6</v>
      </c>
      <c r="T11" s="103">
        <v>3059.47</v>
      </c>
      <c r="U11" s="103">
        <v>48.94</v>
      </c>
      <c r="V11" s="104">
        <f t="shared" ref="V11:V21" si="2">SUM(O11:U11)</f>
        <v>593353.3899999999</v>
      </c>
      <c r="W11" s="105">
        <f>V11/V5*100</f>
        <v>66.429704619181891</v>
      </c>
      <c r="X11" s="106">
        <f>V11-V5</f>
        <v>-299851.53000000003</v>
      </c>
    </row>
    <row r="12" spans="1:24">
      <c r="A12" s="107" t="s">
        <v>34</v>
      </c>
      <c r="B12" s="88">
        <f>2388498.47-E12-V12</f>
        <v>1472672.73</v>
      </c>
      <c r="C12" s="108">
        <v>992438.91</v>
      </c>
      <c r="D12" s="90">
        <v>1330759.8700000001</v>
      </c>
      <c r="E12" s="91">
        <v>68.62</v>
      </c>
      <c r="F12" s="92">
        <f t="shared" si="0"/>
        <v>2323267.4000000004</v>
      </c>
      <c r="G12" s="93">
        <f t="shared" si="1"/>
        <v>3795940.1300000004</v>
      </c>
      <c r="H12" s="94">
        <f>G12/G5*100</f>
        <v>130.27015718131679</v>
      </c>
      <c r="I12" s="95">
        <f>G12-G5</f>
        <v>882041.65000000037</v>
      </c>
      <c r="J12" s="96"/>
      <c r="K12" s="97">
        <v>0</v>
      </c>
      <c r="L12" s="110">
        <v>37605</v>
      </c>
      <c r="M12" s="99"/>
      <c r="N12" s="107" t="s">
        <v>34</v>
      </c>
      <c r="O12" s="100">
        <f>350394.08+79692.5+2963.48</f>
        <v>433050.06</v>
      </c>
      <c r="P12" s="101">
        <f>52707+3648.45+289536.08</f>
        <v>345891.53</v>
      </c>
      <c r="Q12" s="102">
        <v>77476.56</v>
      </c>
      <c r="R12" s="100">
        <v>231.99</v>
      </c>
      <c r="S12" s="103">
        <v>57255.45</v>
      </c>
      <c r="T12" s="103">
        <v>1753.65</v>
      </c>
      <c r="U12" s="103">
        <v>97.88</v>
      </c>
      <c r="V12" s="104">
        <f t="shared" si="2"/>
        <v>915757.12000000011</v>
      </c>
      <c r="W12" s="105">
        <f>V12/V5*100</f>
        <v>102.52486293962646</v>
      </c>
      <c r="X12" s="106">
        <f>V12-V5</f>
        <v>22552.200000000186</v>
      </c>
    </row>
    <row r="13" spans="1:24">
      <c r="A13" s="111" t="s">
        <v>35</v>
      </c>
      <c r="B13" s="88">
        <f>1981479.24-E13-V13</f>
        <v>1168204.46</v>
      </c>
      <c r="C13" s="112">
        <v>1004717.14</v>
      </c>
      <c r="D13" s="113">
        <v>1075635.48</v>
      </c>
      <c r="E13" s="91">
        <v>53.03</v>
      </c>
      <c r="F13" s="92">
        <f t="shared" si="0"/>
        <v>2080405.6500000001</v>
      </c>
      <c r="G13" s="93">
        <f t="shared" si="1"/>
        <v>3248610.1100000003</v>
      </c>
      <c r="H13" s="94">
        <f>G13/G5*100</f>
        <v>111.48672928371892</v>
      </c>
      <c r="I13" s="95">
        <f>G13-G5</f>
        <v>334711.63000000035</v>
      </c>
      <c r="J13" s="96"/>
      <c r="K13" s="97">
        <v>0</v>
      </c>
      <c r="L13" s="114">
        <v>66808.75</v>
      </c>
      <c r="M13" s="99"/>
      <c r="N13" s="111" t="s">
        <v>35</v>
      </c>
      <c r="O13" s="100">
        <f>315803.16+65687.65+4787.16</f>
        <v>386277.96999999991</v>
      </c>
      <c r="P13" s="101">
        <f>38786.44+3952.47+268912.7</f>
        <v>311651.61</v>
      </c>
      <c r="Q13" s="102">
        <v>66413.289999999994</v>
      </c>
      <c r="R13" s="100">
        <v>185.59</v>
      </c>
      <c r="S13" s="103">
        <v>47281.919999999998</v>
      </c>
      <c r="T13" s="103">
        <v>1209.8800000000001</v>
      </c>
      <c r="U13" s="103">
        <v>201.49</v>
      </c>
      <c r="V13" s="104">
        <f t="shared" si="2"/>
        <v>813221.74999999988</v>
      </c>
      <c r="W13" s="105">
        <f>V13/V5*100</f>
        <v>91.045372880391213</v>
      </c>
      <c r="X13" s="106">
        <f>V13-V5</f>
        <v>-79983.170000000042</v>
      </c>
    </row>
    <row r="14" spans="1:24">
      <c r="A14" s="111" t="s">
        <v>36</v>
      </c>
      <c r="B14" s="115">
        <f>1802337.68-E14-V14</f>
        <v>1076117.9500000002</v>
      </c>
      <c r="C14" s="112">
        <v>690101.66</v>
      </c>
      <c r="D14" s="113">
        <v>1199445.23</v>
      </c>
      <c r="E14" s="91">
        <v>16.13</v>
      </c>
      <c r="F14" s="116">
        <f t="shared" si="0"/>
        <v>1889563.02</v>
      </c>
      <c r="G14" s="117">
        <f t="shared" si="1"/>
        <v>2965680.97</v>
      </c>
      <c r="H14" s="94">
        <f>G14/G5*100</f>
        <v>101.7770862765267</v>
      </c>
      <c r="I14" s="95">
        <f>G14-G5</f>
        <v>51782.490000000224</v>
      </c>
      <c r="J14" s="96"/>
      <c r="K14" s="97">
        <v>0</v>
      </c>
      <c r="L14" s="110">
        <v>27203.75</v>
      </c>
      <c r="M14" s="99"/>
      <c r="N14" s="111" t="s">
        <v>36</v>
      </c>
      <c r="O14" s="100">
        <f>242440.06+66717.36+4103.28</f>
        <v>313260.7</v>
      </c>
      <c r="P14" s="101">
        <f>37526.84+5038.33+259207.58</f>
        <v>301772.75</v>
      </c>
      <c r="Q14" s="102">
        <v>66620.240000000005</v>
      </c>
      <c r="R14" s="100">
        <v>185.59</v>
      </c>
      <c r="S14" s="103">
        <v>43957.41</v>
      </c>
      <c r="T14" s="103">
        <v>309.02999999999997</v>
      </c>
      <c r="U14" s="103">
        <v>97.88</v>
      </c>
      <c r="V14" s="104">
        <f t="shared" si="2"/>
        <v>726203.6</v>
      </c>
      <c r="W14" s="105">
        <f>V14/V5*100</f>
        <v>81.303134783449252</v>
      </c>
      <c r="X14" s="106">
        <f>V14-V5</f>
        <v>-167001.31999999995</v>
      </c>
    </row>
    <row r="15" spans="1:24">
      <c r="A15" s="118" t="s">
        <v>37</v>
      </c>
      <c r="B15" s="119">
        <f>1670321.22-E15-V15</f>
        <v>982204.39</v>
      </c>
      <c r="C15" s="120">
        <v>831236.63</v>
      </c>
      <c r="D15" s="113">
        <v>765958.17</v>
      </c>
      <c r="E15" s="121">
        <v>20.75</v>
      </c>
      <c r="F15" s="116">
        <f t="shared" si="0"/>
        <v>1597215.55</v>
      </c>
      <c r="G15" s="117">
        <f>F15+B15</f>
        <v>2579419.94</v>
      </c>
      <c r="H15" s="94">
        <f>G15/G6*100</f>
        <v>80.473881736561268</v>
      </c>
      <c r="I15" s="95">
        <f>G15-G6</f>
        <v>-625868.39000000013</v>
      </c>
      <c r="J15" s="96"/>
      <c r="K15" s="97">
        <v>0</v>
      </c>
      <c r="L15" s="110">
        <v>65768</v>
      </c>
      <c r="M15" s="99"/>
      <c r="N15" s="118" t="s">
        <v>37</v>
      </c>
      <c r="O15" s="100">
        <f>252810.63+62780.78+947.73</f>
        <v>316539.14</v>
      </c>
      <c r="P15" s="101">
        <f>31028.86+3931.62+234525.36</f>
        <v>269485.83999999997</v>
      </c>
      <c r="Q15" s="102">
        <v>62758.43</v>
      </c>
      <c r="R15" s="100">
        <v>578.70000000000005</v>
      </c>
      <c r="S15" s="103">
        <v>37251.11</v>
      </c>
      <c r="T15" s="103">
        <v>1192.07</v>
      </c>
      <c r="U15" s="103">
        <v>290.79000000000002</v>
      </c>
      <c r="V15" s="104">
        <f t="shared" si="2"/>
        <v>688096.08</v>
      </c>
      <c r="W15" s="105">
        <f>V15/V6*100</f>
        <v>77.143052600157219</v>
      </c>
      <c r="X15" s="106">
        <f>V15-V6</f>
        <v>-203878.06000000006</v>
      </c>
    </row>
    <row r="16" spans="1:24">
      <c r="A16" s="118" t="s">
        <v>38</v>
      </c>
      <c r="B16" s="119">
        <f>1582403.5-E16-V16</f>
        <v>1031692.24</v>
      </c>
      <c r="C16" s="120">
        <v>534172.80000000005</v>
      </c>
      <c r="D16" s="113">
        <v>1134480.1000000001</v>
      </c>
      <c r="E16" s="121">
        <v>264.26</v>
      </c>
      <c r="F16" s="116">
        <f t="shared" si="0"/>
        <v>1668917.1600000001</v>
      </c>
      <c r="G16" s="117">
        <f>F16+B16</f>
        <v>2700609.4000000004</v>
      </c>
      <c r="H16" s="94">
        <f>G16/G6*100</f>
        <v>84.254803997617287</v>
      </c>
      <c r="I16" s="95">
        <f>G16-G6</f>
        <v>-504678.9299999997</v>
      </c>
      <c r="J16" s="96"/>
      <c r="K16" s="97">
        <v>0</v>
      </c>
      <c r="L16" s="110">
        <v>19648</v>
      </c>
      <c r="N16" s="118" t="s">
        <v>38</v>
      </c>
      <c r="O16" s="100">
        <f>168328.26+67574.55+2132.39</f>
        <v>238035.20000000001</v>
      </c>
      <c r="P16" s="101">
        <f>47401.07+8667.62+163494.82</f>
        <v>219563.51</v>
      </c>
      <c r="Q16" s="102">
        <v>59315.51</v>
      </c>
      <c r="R16" s="100">
        <v>385.8</v>
      </c>
      <c r="S16" s="103">
        <v>31434.75</v>
      </c>
      <c r="T16" s="103">
        <v>1207.24</v>
      </c>
      <c r="U16" s="103">
        <v>504.99</v>
      </c>
      <c r="V16" s="104">
        <f t="shared" si="2"/>
        <v>550447</v>
      </c>
      <c r="W16" s="105">
        <f>V16/V6*100</f>
        <v>61.71109400099872</v>
      </c>
      <c r="X16" s="106">
        <f>V16-V6</f>
        <v>-341527.14</v>
      </c>
    </row>
    <row r="17" spans="1:24">
      <c r="A17" s="118" t="s">
        <v>39</v>
      </c>
      <c r="B17" s="119">
        <f>1425796.88-E17-V17</f>
        <v>874961.90999999992</v>
      </c>
      <c r="C17" s="120">
        <v>1026856.8</v>
      </c>
      <c r="D17" s="122">
        <v>1044553.32</v>
      </c>
      <c r="E17" s="123">
        <v>127.26</v>
      </c>
      <c r="F17" s="116">
        <f t="shared" si="0"/>
        <v>2071537.3800000001</v>
      </c>
      <c r="G17" s="117">
        <f t="shared" si="1"/>
        <v>2946499.29</v>
      </c>
      <c r="H17" s="94">
        <f>G17/G6*100</f>
        <v>91.926185311385083</v>
      </c>
      <c r="I17" s="95">
        <f>G17-G6</f>
        <v>-258789.04000000004</v>
      </c>
      <c r="J17" s="96"/>
      <c r="K17" s="97">
        <v>0</v>
      </c>
      <c r="L17" s="110">
        <v>37296</v>
      </c>
      <c r="N17" s="118" t="s">
        <v>39</v>
      </c>
      <c r="O17" s="124">
        <f>178102.39+62006.77</f>
        <v>240109.16</v>
      </c>
      <c r="P17" s="125">
        <f>32774.46+1083.45+190467.12</f>
        <v>224325.03</v>
      </c>
      <c r="Q17" s="124">
        <v>52994.29</v>
      </c>
      <c r="R17" s="124">
        <v>191.12</v>
      </c>
      <c r="S17" s="126">
        <v>31316.69</v>
      </c>
      <c r="T17" s="126">
        <v>1481.4</v>
      </c>
      <c r="U17" s="126">
        <v>290.02</v>
      </c>
      <c r="V17" s="104">
        <f t="shared" si="2"/>
        <v>550707.71</v>
      </c>
      <c r="W17" s="105">
        <f>V17/V6*100</f>
        <v>61.740322426836272</v>
      </c>
      <c r="X17" s="106">
        <f>V17-V6</f>
        <v>-341266.43000000005</v>
      </c>
    </row>
    <row r="18" spans="1:24">
      <c r="A18" s="118" t="s">
        <v>40</v>
      </c>
      <c r="B18" s="119">
        <f>1559204.28-E18-V18</f>
        <v>970605.99000000011</v>
      </c>
      <c r="C18" s="120">
        <v>924233.6</v>
      </c>
      <c r="D18" s="113">
        <v>957822.92</v>
      </c>
      <c r="E18" s="121">
        <v>549.17999999999995</v>
      </c>
      <c r="F18" s="116">
        <f t="shared" si="0"/>
        <v>1882605.7</v>
      </c>
      <c r="G18" s="117">
        <f t="shared" si="1"/>
        <v>2853211.69</v>
      </c>
      <c r="H18" s="94">
        <f>G18/G6*100</f>
        <v>89.01575759332701</v>
      </c>
      <c r="I18" s="95">
        <f>G18-G6</f>
        <v>-352076.64000000013</v>
      </c>
      <c r="J18" s="96"/>
      <c r="K18" s="97">
        <v>0</v>
      </c>
      <c r="L18" s="110">
        <v>37536</v>
      </c>
      <c r="N18" s="118" t="s">
        <v>40</v>
      </c>
      <c r="O18" s="124">
        <f>223796.47+52262.41+1895.46</f>
        <v>277954.34000000003</v>
      </c>
      <c r="P18" s="125">
        <f>39658.89+3340.65+158451.33</f>
        <v>201450.87</v>
      </c>
      <c r="Q18" s="124">
        <v>64706</v>
      </c>
      <c r="R18" s="124">
        <v>0</v>
      </c>
      <c r="S18" s="127">
        <v>42505.04</v>
      </c>
      <c r="T18" s="127">
        <v>1192.07</v>
      </c>
      <c r="U18" s="127">
        <v>240.79</v>
      </c>
      <c r="V18" s="104">
        <f t="shared" si="2"/>
        <v>588049.11</v>
      </c>
      <c r="W18" s="105">
        <f>V18/V6*100</f>
        <v>65.926699399603677</v>
      </c>
      <c r="X18" s="106">
        <f>V18-V6</f>
        <v>-303925.03000000003</v>
      </c>
    </row>
    <row r="19" spans="1:24">
      <c r="A19" s="118" t="s">
        <v>41</v>
      </c>
      <c r="B19" s="119">
        <f>1804037.77-E19-V19</f>
        <v>1186722.57</v>
      </c>
      <c r="C19" s="128">
        <v>1076856.8</v>
      </c>
      <c r="D19" s="122">
        <v>863333.69</v>
      </c>
      <c r="E19" s="121">
        <v>764</v>
      </c>
      <c r="F19" s="116">
        <f t="shared" si="0"/>
        <v>1940954.49</v>
      </c>
      <c r="G19" s="117">
        <f>F19+B19</f>
        <v>3127677.06</v>
      </c>
      <c r="H19" s="94">
        <f>G19/G6*100</f>
        <v>97.578649344160567</v>
      </c>
      <c r="I19" s="95">
        <f>G19-G6</f>
        <v>-77611.270000000019</v>
      </c>
      <c r="J19" s="96"/>
      <c r="K19" s="97">
        <v>0</v>
      </c>
      <c r="L19" s="110">
        <v>0</v>
      </c>
      <c r="N19" s="118" t="s">
        <v>41</v>
      </c>
      <c r="O19" s="124">
        <f>265396.86+83872.82+4264.78</f>
        <v>353534.46</v>
      </c>
      <c r="P19" s="125">
        <f>28513.12+4424.11+107595.6</f>
        <v>140532.83000000002</v>
      </c>
      <c r="Q19" s="124">
        <v>67706.460000000006</v>
      </c>
      <c r="R19" s="129">
        <v>0</v>
      </c>
      <c r="S19" s="126">
        <v>52001.59</v>
      </c>
      <c r="T19" s="126">
        <v>2402.8200000000002</v>
      </c>
      <c r="U19" s="126">
        <v>373.04</v>
      </c>
      <c r="V19" s="104">
        <f t="shared" si="2"/>
        <v>616551.19999999995</v>
      </c>
      <c r="W19" s="105">
        <f>V19/V6*100</f>
        <v>69.122093606884164</v>
      </c>
      <c r="X19" s="106">
        <f>V19-V6</f>
        <v>-275422.94000000006</v>
      </c>
    </row>
    <row r="20" spans="1:24">
      <c r="A20" s="118" t="s">
        <v>42</v>
      </c>
      <c r="B20" s="119">
        <f>1992733.65-E20-V20</f>
        <v>1337596.54</v>
      </c>
      <c r="C20" s="120">
        <v>831439.78</v>
      </c>
      <c r="D20" s="113">
        <v>1344171.48</v>
      </c>
      <c r="E20" s="121">
        <v>526.01</v>
      </c>
      <c r="F20" s="116">
        <f t="shared" si="0"/>
        <v>2176137.2699999996</v>
      </c>
      <c r="G20" s="117">
        <f t="shared" si="1"/>
        <v>3513733.8099999996</v>
      </c>
      <c r="H20" s="94">
        <f>G20/G6*100</f>
        <v>109.62301822001766</v>
      </c>
      <c r="I20" s="95">
        <f>G20-G7</f>
        <v>84075.299999999814</v>
      </c>
      <c r="J20" s="130"/>
      <c r="K20" s="97">
        <v>0</v>
      </c>
      <c r="L20" s="110">
        <v>21379.84</v>
      </c>
      <c r="N20" s="118" t="s">
        <v>42</v>
      </c>
      <c r="O20" s="124">
        <f>300382.78+77193.87+4269.79</f>
        <v>381846.44</v>
      </c>
      <c r="P20" s="125">
        <f>31143.23+4411.63+110940.07</f>
        <v>146494.93</v>
      </c>
      <c r="Q20" s="124">
        <v>70769.89</v>
      </c>
      <c r="R20" s="129">
        <v>0</v>
      </c>
      <c r="S20" s="126">
        <v>53542.94</v>
      </c>
      <c r="T20" s="126">
        <v>1739.37</v>
      </c>
      <c r="U20" s="126">
        <v>217.53</v>
      </c>
      <c r="V20" s="104">
        <f t="shared" si="2"/>
        <v>654611.1</v>
      </c>
      <c r="W20" s="105">
        <f>V20/V6*100</f>
        <v>73.389022242281598</v>
      </c>
      <c r="X20" s="106">
        <f>V20-V7</f>
        <v>-291716.63000000012</v>
      </c>
    </row>
    <row r="21" spans="1:24" ht="15.75" thickBot="1">
      <c r="A21" s="131" t="s">
        <v>43</v>
      </c>
      <c r="B21" s="119">
        <f>2163090.38-E21-V21</f>
        <v>1409781.9499999997</v>
      </c>
      <c r="C21" s="132">
        <v>1179545.22</v>
      </c>
      <c r="D21" s="133">
        <v>1527379.42</v>
      </c>
      <c r="E21" s="133">
        <v>255.64</v>
      </c>
      <c r="F21" s="134">
        <f t="shared" si="0"/>
        <v>2707180.28</v>
      </c>
      <c r="G21" s="135">
        <f t="shared" si="1"/>
        <v>4116962.2299999995</v>
      </c>
      <c r="H21" s="94">
        <f>G21/G7*100</f>
        <v>120.04000450762078</v>
      </c>
      <c r="I21" s="95">
        <f>G21-G7</f>
        <v>687303.71999999974</v>
      </c>
      <c r="J21" s="130"/>
      <c r="K21" s="136">
        <v>0</v>
      </c>
      <c r="L21" s="137">
        <v>62139.519999999997</v>
      </c>
      <c r="N21" s="131" t="s">
        <v>43</v>
      </c>
      <c r="O21" s="138">
        <f>301837.37+53863+3013.98</f>
        <v>358714.35</v>
      </c>
      <c r="P21" s="139">
        <f>38949.53+2840.66+229008.82</f>
        <v>270799.01</v>
      </c>
      <c r="Q21" s="138">
        <v>72995.06</v>
      </c>
      <c r="R21" s="140">
        <v>1482.48</v>
      </c>
      <c r="S21" s="141">
        <v>46395.72</v>
      </c>
      <c r="T21" s="142">
        <v>1568.12</v>
      </c>
      <c r="U21" s="142">
        <v>1098.05</v>
      </c>
      <c r="V21" s="104">
        <f t="shared" si="2"/>
        <v>753052.78999999992</v>
      </c>
      <c r="W21" s="105">
        <f>V21/V6*100</f>
        <v>84.425406099777717</v>
      </c>
      <c r="X21" s="106">
        <f>V21-V8</f>
        <v>-1184058.96</v>
      </c>
    </row>
    <row r="22" spans="1:24" ht="15.75" thickBot="1">
      <c r="A22" s="143" t="s">
        <v>23</v>
      </c>
      <c r="B22" s="144">
        <f t="shared" ref="B22:G22" si="3">SUM(B10:B21)</f>
        <v>13751035.52</v>
      </c>
      <c r="C22" s="145">
        <f t="shared" si="3"/>
        <v>11266873.9</v>
      </c>
      <c r="D22" s="145">
        <f t="shared" si="3"/>
        <v>12735174.18</v>
      </c>
      <c r="E22" s="146">
        <f t="shared" si="3"/>
        <v>4859.9100000000008</v>
      </c>
      <c r="F22" s="147">
        <f t="shared" si="3"/>
        <v>24006907.990000002</v>
      </c>
      <c r="G22" s="148">
        <f t="shared" si="3"/>
        <v>37757943.509999998</v>
      </c>
      <c r="H22" s="149">
        <f>G22/G24*100</f>
        <v>100.80814420235575</v>
      </c>
      <c r="I22" s="150">
        <f>SUM(I10:I21)</f>
        <v>302692.44000000041</v>
      </c>
      <c r="J22" s="96"/>
      <c r="K22" s="145">
        <f>SUM(K10:K21)</f>
        <v>0</v>
      </c>
      <c r="L22" s="151">
        <f>SUM(L10:L21)</f>
        <v>646881.5</v>
      </c>
      <c r="N22" s="143" t="s">
        <v>23</v>
      </c>
      <c r="O22" s="152">
        <f>SUM(O10:O21)</f>
        <v>3994020.5500000003</v>
      </c>
      <c r="P22" s="153">
        <f t="shared" ref="P22:U22" si="4">SUM(P10:P21)</f>
        <v>2766140.6100000003</v>
      </c>
      <c r="Q22" s="152">
        <f t="shared" si="4"/>
        <v>790136.7</v>
      </c>
      <c r="R22" s="152">
        <f t="shared" si="4"/>
        <v>10293.290000000001</v>
      </c>
      <c r="S22" s="152">
        <f t="shared" si="4"/>
        <v>529749.27</v>
      </c>
      <c r="T22" s="152">
        <f t="shared" si="4"/>
        <v>20260.399999999998</v>
      </c>
      <c r="U22" s="152">
        <f t="shared" si="4"/>
        <v>3784.46</v>
      </c>
      <c r="V22" s="154">
        <f>SUM(V10:V21)</f>
        <v>8114385.2800000003</v>
      </c>
      <c r="W22" s="155">
        <f>V22/V24*100</f>
        <v>68.711620350896681</v>
      </c>
      <c r="X22" s="156">
        <f>SUM(X10:X21)</f>
        <v>-3694949.5</v>
      </c>
    </row>
    <row r="23" spans="1:24" ht="4.5" customHeight="1" thickBot="1">
      <c r="A23" s="157"/>
      <c r="B23" s="158"/>
      <c r="C23" s="158"/>
      <c r="D23" s="158"/>
      <c r="E23" s="159"/>
      <c r="F23" s="160"/>
      <c r="G23" s="161"/>
      <c r="H23" s="162"/>
      <c r="I23" s="163"/>
      <c r="J23" s="96"/>
      <c r="K23" s="164"/>
      <c r="L23" s="165"/>
      <c r="N23" s="166"/>
      <c r="O23" s="167"/>
      <c r="P23" s="167"/>
      <c r="Q23" s="167"/>
      <c r="R23" s="167"/>
      <c r="S23" s="168"/>
      <c r="T23" s="168"/>
      <c r="U23" s="168"/>
      <c r="V23" s="168"/>
      <c r="W23" s="169"/>
      <c r="X23" s="170"/>
    </row>
    <row r="24" spans="1:24" ht="27" thickBot="1">
      <c r="A24" s="171" t="s">
        <v>44</v>
      </c>
      <c r="B24" s="172"/>
      <c r="C24" s="173"/>
      <c r="D24" s="174"/>
      <c r="E24" s="175"/>
      <c r="F24" s="176"/>
      <c r="G24" s="177">
        <f>(G5*5)+(G6*5)+(G7*2)</f>
        <v>37455251.07</v>
      </c>
      <c r="H24" s="178"/>
      <c r="I24" s="179"/>
      <c r="J24" s="96"/>
      <c r="K24" s="180">
        <f>K5*1</f>
        <v>0</v>
      </c>
      <c r="L24" s="181">
        <f>L5</f>
        <v>653272.53</v>
      </c>
      <c r="N24" s="182" t="s">
        <v>45</v>
      </c>
      <c r="O24" s="183">
        <f>(O5*5)+(O6*5)+O7+O8</f>
        <v>4167253.35</v>
      </c>
      <c r="P24" s="183">
        <f t="shared" ref="P24:V24" si="5">(P5*5)+(P6*5)+P7+P8</f>
        <v>4146808.7300000004</v>
      </c>
      <c r="Q24" s="183">
        <f t="shared" si="5"/>
        <v>1056270.8</v>
      </c>
      <c r="R24" s="183">
        <f t="shared" si="5"/>
        <v>1262107</v>
      </c>
      <c r="S24" s="183">
        <f t="shared" si="5"/>
        <v>1153042.5</v>
      </c>
      <c r="T24" s="183">
        <f t="shared" si="5"/>
        <v>20619.55</v>
      </c>
      <c r="U24" s="183">
        <f t="shared" si="5"/>
        <v>3232.8500000000004</v>
      </c>
      <c r="V24" s="183">
        <f t="shared" si="5"/>
        <v>11809334.780000001</v>
      </c>
      <c r="W24" s="184"/>
      <c r="X24" s="185"/>
    </row>
    <row r="25" spans="1:24" ht="16.5" thickBot="1">
      <c r="A25" s="186" t="s">
        <v>46</v>
      </c>
      <c r="B25" s="187"/>
      <c r="C25" s="188"/>
      <c r="D25" s="189"/>
      <c r="E25" s="190"/>
      <c r="F25" s="191"/>
      <c r="G25" s="192">
        <f>G22-G24</f>
        <v>302692.43999999762</v>
      </c>
      <c r="H25" s="193"/>
      <c r="I25" s="194"/>
      <c r="J25" s="195"/>
      <c r="K25" s="196">
        <f>K22-K24</f>
        <v>0</v>
      </c>
      <c r="L25" s="196">
        <f>L22-L24</f>
        <v>-6391.0300000000279</v>
      </c>
      <c r="N25" s="186" t="s">
        <v>47</v>
      </c>
      <c r="O25" s="197">
        <f>O22-O24</f>
        <v>-173232.79999999981</v>
      </c>
      <c r="P25" s="197">
        <f t="shared" ref="P25:V25" si="6">P22-P24</f>
        <v>-1380668.12</v>
      </c>
      <c r="Q25" s="197">
        <f t="shared" si="6"/>
        <v>-266134.10000000009</v>
      </c>
      <c r="R25" s="197">
        <f t="shared" si="6"/>
        <v>-1251813.71</v>
      </c>
      <c r="S25" s="197">
        <f t="shared" si="6"/>
        <v>-623293.23</v>
      </c>
      <c r="T25" s="197">
        <f t="shared" si="6"/>
        <v>-359.15000000000146</v>
      </c>
      <c r="U25" s="197">
        <f t="shared" si="6"/>
        <v>551.60999999999967</v>
      </c>
      <c r="V25" s="197">
        <f t="shared" si="6"/>
        <v>-3694949.5000000009</v>
      </c>
      <c r="W25" s="198"/>
      <c r="X25" s="199"/>
    </row>
    <row r="26" spans="1:24" ht="16.5" thickBot="1">
      <c r="A26" s="200" t="s">
        <v>48</v>
      </c>
      <c r="B26" s="201"/>
      <c r="C26" s="201"/>
      <c r="D26" s="202"/>
      <c r="E26" s="203">
        <v>2619142</v>
      </c>
      <c r="F26" s="201"/>
      <c r="G26" s="204">
        <f>G25-E26</f>
        <v>-2316449.5600000024</v>
      </c>
      <c r="H26" s="205"/>
      <c r="I26" s="96"/>
      <c r="J26" s="96"/>
      <c r="K26" s="206"/>
      <c r="L26" s="206"/>
      <c r="N26" s="207"/>
      <c r="O26" s="208"/>
      <c r="P26" s="208"/>
      <c r="Q26" s="208"/>
      <c r="R26" s="208"/>
      <c r="S26" s="208"/>
      <c r="T26" s="208"/>
      <c r="U26" s="208"/>
      <c r="V26" s="208"/>
      <c r="W26" s="209"/>
      <c r="X26" s="210"/>
    </row>
    <row r="27" spans="1:24" ht="5.25" customHeight="1" thickBot="1">
      <c r="A27" s="207"/>
      <c r="B27" s="211"/>
      <c r="C27" s="211"/>
      <c r="D27" s="211"/>
      <c r="E27" s="212"/>
      <c r="F27" s="211"/>
      <c r="G27" s="213"/>
      <c r="H27" s="214"/>
      <c r="I27" s="215"/>
      <c r="J27" s="215"/>
      <c r="K27" s="216"/>
      <c r="L27" s="10"/>
    </row>
    <row r="28" spans="1:24" ht="15.75" hidden="1" thickBot="1">
      <c r="A28" s="217" t="s">
        <v>49</v>
      </c>
      <c r="B28" s="218"/>
      <c r="C28" s="218"/>
      <c r="D28" s="218"/>
      <c r="E28" s="218"/>
      <c r="F28" s="218"/>
      <c r="G28" s="219"/>
      <c r="H28" s="220"/>
      <c r="I28" s="221"/>
      <c r="J28" s="221"/>
      <c r="K28" s="221"/>
      <c r="L28" s="10"/>
    </row>
    <row r="29" spans="1:24" ht="15.75" hidden="1" thickBot="1">
      <c r="A29" s="222"/>
      <c r="B29" s="223">
        <v>2960391</v>
      </c>
      <c r="C29" s="223">
        <v>2242408</v>
      </c>
      <c r="D29" s="223">
        <v>2717662</v>
      </c>
      <c r="E29" s="223">
        <v>713590</v>
      </c>
      <c r="F29" s="223">
        <v>5673659</v>
      </c>
      <c r="G29" s="224">
        <v>8634050</v>
      </c>
      <c r="H29" s="220"/>
      <c r="I29" s="221"/>
      <c r="J29" s="221"/>
      <c r="K29" s="221"/>
      <c r="L29" s="10"/>
    </row>
    <row r="30" spans="1:24" ht="15.75" hidden="1" thickBot="1">
      <c r="A30" s="225" t="s">
        <v>50</v>
      </c>
      <c r="B30" s="215"/>
      <c r="C30" s="215"/>
      <c r="D30" s="215"/>
      <c r="E30" s="215"/>
      <c r="F30" s="215"/>
      <c r="G30" s="226"/>
      <c r="H30" s="220"/>
      <c r="I30" s="221"/>
      <c r="J30" s="221"/>
      <c r="K30" s="221"/>
      <c r="L30" s="10"/>
    </row>
    <row r="31" spans="1:24" ht="15.75" hidden="1" thickBot="1">
      <c r="A31" s="227"/>
      <c r="B31" s="228">
        <f>B29/G29</f>
        <v>0.34287396992141578</v>
      </c>
      <c r="C31" s="228">
        <f>C29/G29</f>
        <v>0.25971681887410891</v>
      </c>
      <c r="D31" s="228">
        <f>D29/G29</f>
        <v>0.31476097544026266</v>
      </c>
      <c r="E31" s="228">
        <f>E29/G29</f>
        <v>8.2648351584714008E-2</v>
      </c>
      <c r="F31" s="228">
        <f>F29/G29</f>
        <v>0.65712603007858417</v>
      </c>
      <c r="G31" s="229">
        <f>G29/G29</f>
        <v>1</v>
      </c>
      <c r="H31" s="220"/>
      <c r="I31" s="221"/>
      <c r="J31" s="221"/>
      <c r="K31" s="221"/>
      <c r="L31" s="10"/>
    </row>
    <row r="32" spans="1:24" ht="15.75" hidden="1" thickBot="1">
      <c r="A32" s="221"/>
      <c r="B32" s="221"/>
      <c r="C32" s="221"/>
      <c r="D32" s="221"/>
      <c r="E32" s="221"/>
      <c r="F32" s="221"/>
      <c r="G32" s="221"/>
      <c r="H32" s="220"/>
      <c r="I32" s="221"/>
      <c r="J32" s="221"/>
      <c r="K32" s="221"/>
      <c r="L32" s="10"/>
    </row>
    <row r="33" spans="1:22" ht="15.75" hidden="1" thickBot="1">
      <c r="A33" s="217" t="s">
        <v>51</v>
      </c>
      <c r="B33" s="218"/>
      <c r="C33" s="218"/>
      <c r="D33" s="218"/>
      <c r="E33" s="218"/>
      <c r="F33" s="218"/>
      <c r="G33" s="219"/>
      <c r="H33" s="220"/>
      <c r="I33" s="221"/>
      <c r="J33" s="221"/>
      <c r="K33" s="221"/>
      <c r="L33" s="10"/>
    </row>
    <row r="34" spans="1:22" ht="15.75" hidden="1" thickBot="1">
      <c r="A34" s="222"/>
      <c r="B34" s="223">
        <v>3977814</v>
      </c>
      <c r="C34" s="223">
        <v>2788748</v>
      </c>
      <c r="D34" s="223">
        <v>3611202</v>
      </c>
      <c r="E34" s="223">
        <v>976434</v>
      </c>
      <c r="F34" s="223">
        <v>7376383</v>
      </c>
      <c r="G34" s="224">
        <v>11354197</v>
      </c>
      <c r="H34" s="220"/>
      <c r="I34" s="221"/>
      <c r="J34" s="221"/>
      <c r="K34" s="221"/>
      <c r="L34" s="10"/>
      <c r="O34" s="230"/>
    </row>
    <row r="35" spans="1:22" ht="15.75" hidden="1" thickBot="1">
      <c r="A35" s="225" t="s">
        <v>52</v>
      </c>
      <c r="B35" s="215"/>
      <c r="C35" s="215"/>
      <c r="D35" s="215"/>
      <c r="E35" s="215"/>
      <c r="F35" s="215"/>
      <c r="G35" s="226"/>
      <c r="H35" s="169"/>
      <c r="I35" s="231"/>
      <c r="J35" s="231"/>
      <c r="K35" s="231"/>
      <c r="L35" s="10"/>
    </row>
    <row r="36" spans="1:22" ht="15.75" hidden="1" thickBot="1">
      <c r="A36" s="227"/>
      <c r="B36" s="228">
        <f>B34/G34</f>
        <v>0.35033864570079243</v>
      </c>
      <c r="C36" s="228">
        <f>C34/G34</f>
        <v>0.24561384658025573</v>
      </c>
      <c r="D36" s="228">
        <f>D34/G34</f>
        <v>0.31804996865916629</v>
      </c>
      <c r="E36" s="228">
        <f>E34/G34</f>
        <v>8.5997627132944759E-2</v>
      </c>
      <c r="F36" s="228">
        <f>F34/G34</f>
        <v>0.64966135429920757</v>
      </c>
      <c r="G36" s="229">
        <f>G34/G34</f>
        <v>1</v>
      </c>
      <c r="H36" s="169"/>
      <c r="I36" s="231"/>
      <c r="J36" s="231"/>
      <c r="K36" s="231"/>
      <c r="L36" s="10"/>
    </row>
    <row r="37" spans="1:22" ht="15.75" hidden="1" thickBot="1">
      <c r="A37" s="10"/>
      <c r="B37" s="231"/>
      <c r="C37" s="231"/>
      <c r="D37" s="232"/>
      <c r="E37" s="231"/>
      <c r="F37" s="232"/>
      <c r="G37" s="231"/>
      <c r="H37" s="169"/>
      <c r="I37" s="232"/>
      <c r="J37" s="232"/>
      <c r="K37" s="231"/>
      <c r="L37" s="10"/>
    </row>
    <row r="38" spans="1:22" ht="15.75" hidden="1" thickBot="1">
      <c r="A38" s="10"/>
      <c r="B38" s="231"/>
      <c r="C38" s="231"/>
      <c r="D38" s="232"/>
      <c r="E38" s="231"/>
      <c r="F38" s="232"/>
      <c r="G38" s="231"/>
      <c r="H38" s="169"/>
      <c r="I38" s="232"/>
      <c r="J38" s="232"/>
      <c r="K38" s="231"/>
      <c r="L38" s="10"/>
    </row>
    <row r="39" spans="1:22" ht="15.75" thickBot="1">
      <c r="A39" s="233"/>
      <c r="B39" s="803" t="s">
        <v>53</v>
      </c>
      <c r="C39" s="804"/>
      <c r="D39" s="803" t="s">
        <v>54</v>
      </c>
      <c r="E39" s="804"/>
      <c r="F39" s="809" t="s">
        <v>55</v>
      </c>
      <c r="G39" s="234"/>
      <c r="H39" s="235"/>
      <c r="I39" s="236"/>
      <c r="J39" s="237"/>
      <c r="K39" s="236"/>
      <c r="L39" s="236"/>
      <c r="M39" s="238"/>
      <c r="N39" s="238"/>
      <c r="T39" s="3"/>
      <c r="V39" s="99"/>
    </row>
    <row r="40" spans="1:22" ht="15" customHeight="1">
      <c r="A40" s="239"/>
      <c r="B40" s="805"/>
      <c r="C40" s="806"/>
      <c r="D40" s="805"/>
      <c r="E40" s="806"/>
      <c r="F40" s="810"/>
      <c r="G40" s="240"/>
      <c r="H40" s="241"/>
      <c r="I40" s="236"/>
      <c r="J40" s="237"/>
      <c r="K40" s="242"/>
      <c r="L40" s="243" t="s">
        <v>56</v>
      </c>
      <c r="M40" s="238"/>
      <c r="U40" s="3"/>
      <c r="V40" s="99"/>
    </row>
    <row r="41" spans="1:22" ht="15" customHeight="1" thickBot="1">
      <c r="A41" s="244" t="s">
        <v>57</v>
      </c>
      <c r="B41" s="807"/>
      <c r="C41" s="808"/>
      <c r="D41" s="807"/>
      <c r="E41" s="808"/>
      <c r="F41" s="811"/>
      <c r="G41" s="245"/>
      <c r="H41" s="246"/>
      <c r="I41" s="236"/>
      <c r="J41" s="237"/>
      <c r="K41" s="244" t="s">
        <v>57</v>
      </c>
      <c r="L41" s="247" t="s">
        <v>58</v>
      </c>
      <c r="R41" s="99"/>
      <c r="U41" s="3"/>
    </row>
    <row r="42" spans="1:22">
      <c r="A42" s="87" t="s">
        <v>32</v>
      </c>
      <c r="B42" s="812">
        <f>G5+V5</f>
        <v>3807103.4</v>
      </c>
      <c r="C42" s="813"/>
      <c r="D42" s="814">
        <f t="shared" ref="D42:D53" si="7">G10+V10</f>
        <v>3365267.5500000003</v>
      </c>
      <c r="E42" s="814"/>
      <c r="F42" s="248">
        <f>D42-B42</f>
        <v>-441835.84999999963</v>
      </c>
      <c r="G42" s="249"/>
      <c r="H42" s="250"/>
      <c r="I42" s="251"/>
      <c r="J42" s="252"/>
      <c r="K42" s="87" t="s">
        <v>32</v>
      </c>
      <c r="L42" s="253">
        <v>4773.6000000000004</v>
      </c>
    </row>
    <row r="43" spans="1:22">
      <c r="A43" s="107" t="s">
        <v>33</v>
      </c>
      <c r="B43" s="812">
        <f>G5+V5</f>
        <v>3807103.4</v>
      </c>
      <c r="C43" s="813"/>
      <c r="D43" s="814">
        <f t="shared" si="7"/>
        <v>3802019.1499999994</v>
      </c>
      <c r="E43" s="814"/>
      <c r="F43" s="124">
        <f t="shared" ref="F43:F54" si="8">D43-B43</f>
        <v>-5084.2500000004657</v>
      </c>
      <c r="G43" s="249"/>
      <c r="H43" s="254"/>
      <c r="I43" s="251"/>
      <c r="J43" s="252"/>
      <c r="K43" s="107" t="s">
        <v>33</v>
      </c>
      <c r="L43" s="255">
        <v>4243.2</v>
      </c>
    </row>
    <row r="44" spans="1:22">
      <c r="A44" s="107" t="s">
        <v>34</v>
      </c>
      <c r="B44" s="812">
        <f>G5+V5</f>
        <v>3807103.4</v>
      </c>
      <c r="C44" s="813"/>
      <c r="D44" s="814">
        <f t="shared" si="7"/>
        <v>4711697.25</v>
      </c>
      <c r="E44" s="814"/>
      <c r="F44" s="124">
        <f t="shared" si="8"/>
        <v>904593.85000000009</v>
      </c>
      <c r="G44" s="249"/>
      <c r="H44" s="254"/>
      <c r="I44" s="251"/>
      <c r="J44" s="252"/>
      <c r="K44" s="107" t="s">
        <v>34</v>
      </c>
      <c r="L44" s="255">
        <v>11668.8</v>
      </c>
    </row>
    <row r="45" spans="1:22">
      <c r="A45" s="111" t="s">
        <v>35</v>
      </c>
      <c r="B45" s="812">
        <f>G5+V5</f>
        <v>3807103.4</v>
      </c>
      <c r="C45" s="813"/>
      <c r="D45" s="814">
        <f t="shared" si="7"/>
        <v>4061831.8600000003</v>
      </c>
      <c r="E45" s="814"/>
      <c r="F45" s="124">
        <f t="shared" si="8"/>
        <v>254728.46000000043</v>
      </c>
      <c r="G45" s="249"/>
      <c r="H45" s="250"/>
      <c r="I45" s="251"/>
      <c r="J45" s="252"/>
      <c r="K45" s="111" t="s">
        <v>35</v>
      </c>
      <c r="L45" s="255">
        <v>11138.4</v>
      </c>
    </row>
    <row r="46" spans="1:22">
      <c r="A46" s="111" t="s">
        <v>36</v>
      </c>
      <c r="B46" s="812">
        <f>G5+V5</f>
        <v>3807103.4</v>
      </c>
      <c r="C46" s="813"/>
      <c r="D46" s="814">
        <f t="shared" si="7"/>
        <v>3691884.5700000003</v>
      </c>
      <c r="E46" s="814"/>
      <c r="F46" s="124">
        <f t="shared" si="8"/>
        <v>-115218.82999999961</v>
      </c>
      <c r="G46" s="249"/>
      <c r="H46" s="250"/>
      <c r="I46" s="251"/>
      <c r="J46" s="252"/>
      <c r="K46" s="111" t="s">
        <v>36</v>
      </c>
      <c r="L46" s="255">
        <v>10608</v>
      </c>
    </row>
    <row r="47" spans="1:22">
      <c r="A47" s="118" t="s">
        <v>37</v>
      </c>
      <c r="B47" s="812">
        <f>G6+V6</f>
        <v>4097262.47</v>
      </c>
      <c r="C47" s="813"/>
      <c r="D47" s="814">
        <f t="shared" si="7"/>
        <v>3267516.02</v>
      </c>
      <c r="E47" s="814"/>
      <c r="F47" s="124">
        <f t="shared" si="8"/>
        <v>-829746.45000000019</v>
      </c>
      <c r="G47" s="249"/>
      <c r="H47" s="250"/>
      <c r="I47" s="251"/>
      <c r="J47" s="252"/>
      <c r="K47" s="118" t="s">
        <v>37</v>
      </c>
      <c r="L47" s="256">
        <v>10914.54</v>
      </c>
    </row>
    <row r="48" spans="1:22">
      <c r="A48" s="118" t="s">
        <v>38</v>
      </c>
      <c r="B48" s="812">
        <f>G6+V6</f>
        <v>4097262.47</v>
      </c>
      <c r="C48" s="813"/>
      <c r="D48" s="814">
        <f t="shared" si="7"/>
        <v>3251056.4000000004</v>
      </c>
      <c r="E48" s="814"/>
      <c r="F48" s="124">
        <f t="shared" si="8"/>
        <v>-846206.06999999983</v>
      </c>
      <c r="G48" s="249"/>
      <c r="H48" s="250"/>
      <c r="I48" s="251"/>
      <c r="J48" s="252"/>
      <c r="K48" s="118" t="s">
        <v>38</v>
      </c>
      <c r="L48" s="255">
        <v>7116.59</v>
      </c>
    </row>
    <row r="49" spans="1:12">
      <c r="A49" s="118" t="s">
        <v>39</v>
      </c>
      <c r="B49" s="812">
        <f>G6+V6</f>
        <v>4097262.47</v>
      </c>
      <c r="C49" s="813"/>
      <c r="D49" s="814">
        <f t="shared" si="7"/>
        <v>3497207</v>
      </c>
      <c r="E49" s="814"/>
      <c r="F49" s="124">
        <f t="shared" si="8"/>
        <v>-600055.4700000002</v>
      </c>
      <c r="G49" s="249"/>
      <c r="H49" s="250"/>
      <c r="I49" s="251"/>
      <c r="J49" s="252"/>
      <c r="K49" s="118" t="s">
        <v>39</v>
      </c>
      <c r="L49" s="255">
        <v>8211.4500000000007</v>
      </c>
    </row>
    <row r="50" spans="1:12">
      <c r="A50" s="118" t="s">
        <v>40</v>
      </c>
      <c r="B50" s="812">
        <f>G6+V6</f>
        <v>4097262.47</v>
      </c>
      <c r="C50" s="813"/>
      <c r="D50" s="814">
        <f t="shared" si="7"/>
        <v>3441260.8</v>
      </c>
      <c r="E50" s="814"/>
      <c r="F50" s="124">
        <f t="shared" si="8"/>
        <v>-656001.67000000039</v>
      </c>
      <c r="G50" s="249"/>
      <c r="H50" s="250"/>
      <c r="I50" s="251"/>
      <c r="J50" s="252"/>
      <c r="K50" s="118" t="s">
        <v>40</v>
      </c>
      <c r="L50" s="255">
        <v>12043.46</v>
      </c>
    </row>
    <row r="51" spans="1:12">
      <c r="A51" s="118" t="s">
        <v>41</v>
      </c>
      <c r="B51" s="812">
        <f>G6+V6</f>
        <v>4097262.47</v>
      </c>
      <c r="C51" s="813"/>
      <c r="D51" s="814">
        <f t="shared" si="7"/>
        <v>3744228.26</v>
      </c>
      <c r="E51" s="814"/>
      <c r="F51" s="124">
        <f t="shared" si="8"/>
        <v>-353034.21000000043</v>
      </c>
      <c r="G51" s="249"/>
      <c r="H51" s="250"/>
      <c r="I51" s="251"/>
      <c r="J51" s="252"/>
      <c r="K51" s="118" t="s">
        <v>41</v>
      </c>
      <c r="L51" s="255">
        <v>30656.080000000002</v>
      </c>
    </row>
    <row r="52" spans="1:12">
      <c r="A52" s="118" t="s">
        <v>42</v>
      </c>
      <c r="B52" s="812">
        <f>G7+V7</f>
        <v>4375986.24</v>
      </c>
      <c r="C52" s="813"/>
      <c r="D52" s="814">
        <f t="shared" si="7"/>
        <v>4168344.9099999997</v>
      </c>
      <c r="E52" s="814"/>
      <c r="F52" s="124">
        <f t="shared" si="8"/>
        <v>-207641.33000000054</v>
      </c>
      <c r="G52" s="249"/>
      <c r="H52" s="250"/>
      <c r="I52" s="251"/>
      <c r="J52" s="252"/>
      <c r="K52" s="118" t="s">
        <v>42</v>
      </c>
      <c r="L52" s="255">
        <v>40214.379999999997</v>
      </c>
    </row>
    <row r="53" spans="1:12" ht="15.75" thickBot="1">
      <c r="A53" s="131" t="s">
        <v>43</v>
      </c>
      <c r="B53" s="812">
        <f>G7+V8</f>
        <v>5366770.26</v>
      </c>
      <c r="C53" s="813"/>
      <c r="D53" s="814">
        <f t="shared" si="7"/>
        <v>4870015.0199999996</v>
      </c>
      <c r="E53" s="814"/>
      <c r="F53" s="100">
        <f t="shared" si="8"/>
        <v>-496755.24000000022</v>
      </c>
      <c r="G53" s="249"/>
      <c r="H53" s="250"/>
      <c r="I53" s="251"/>
      <c r="J53" s="252"/>
      <c r="K53" s="131" t="s">
        <v>43</v>
      </c>
      <c r="L53" s="255">
        <v>42360.44</v>
      </c>
    </row>
    <row r="54" spans="1:12" ht="16.5" thickBot="1">
      <c r="A54" s="143" t="s">
        <v>23</v>
      </c>
      <c r="B54" s="815">
        <f>SUM(B42:B53)</f>
        <v>49264585.849999994</v>
      </c>
      <c r="C54" s="816"/>
      <c r="D54" s="817">
        <f>SUM(D42:D53)</f>
        <v>45872328.789999992</v>
      </c>
      <c r="E54" s="818"/>
      <c r="F54" s="257">
        <f t="shared" si="8"/>
        <v>-3392257.0600000024</v>
      </c>
      <c r="G54" s="258"/>
      <c r="H54" s="259"/>
      <c r="I54" s="252"/>
      <c r="J54" s="252"/>
      <c r="K54" s="260" t="s">
        <v>23</v>
      </c>
      <c r="L54" s="261">
        <f>SUM(L42:L53)</f>
        <v>193948.94</v>
      </c>
    </row>
    <row r="55" spans="1:12" s="8" customFormat="1" ht="24.75" customHeight="1">
      <c r="A55" s="262"/>
      <c r="B55" s="263"/>
      <c r="C55" s="263"/>
      <c r="D55" s="263"/>
      <c r="E55" s="263"/>
      <c r="F55" s="263"/>
      <c r="G55" s="213"/>
      <c r="H55" s="214"/>
      <c r="I55" s="169"/>
      <c r="J55" s="169"/>
      <c r="K55" s="264"/>
      <c r="L55" s="264"/>
    </row>
    <row r="56" spans="1:12" s="8" customFormat="1" ht="12.75">
      <c r="A56" s="254"/>
      <c r="B56" s="265"/>
      <c r="C56" s="265"/>
      <c r="D56" s="265"/>
      <c r="E56" s="265"/>
      <c r="F56" s="265"/>
      <c r="G56" s="265"/>
      <c r="H56" s="214"/>
      <c r="I56" s="169"/>
      <c r="J56" s="169"/>
      <c r="K56" s="169"/>
    </row>
    <row r="57" spans="1:12">
      <c r="A57" s="266"/>
      <c r="B57" s="167"/>
      <c r="C57" s="167"/>
      <c r="D57" s="167"/>
      <c r="E57" s="167"/>
      <c r="F57" s="167"/>
      <c r="G57" s="267"/>
      <c r="H57" s="169"/>
      <c r="I57" s="231"/>
      <c r="J57" s="231"/>
      <c r="K57" s="231"/>
      <c r="L57" s="10"/>
    </row>
    <row r="58" spans="1:12">
      <c r="A58" s="166"/>
      <c r="B58" s="268"/>
      <c r="C58" s="268"/>
      <c r="D58" s="268"/>
      <c r="E58" s="268"/>
      <c r="F58" s="268"/>
      <c r="G58" s="269"/>
      <c r="H58" s="169"/>
      <c r="I58" s="231"/>
      <c r="J58" s="231"/>
      <c r="K58" s="231"/>
      <c r="L58" s="10"/>
    </row>
    <row r="59" spans="1:12">
      <c r="A59" s="10"/>
      <c r="B59" s="10"/>
      <c r="C59" s="10"/>
      <c r="D59" s="10"/>
      <c r="E59" s="10"/>
      <c r="F59" s="10"/>
      <c r="G59" s="10"/>
      <c r="I59" s="10"/>
      <c r="J59" s="10"/>
      <c r="K59" s="10"/>
      <c r="L59" s="10"/>
    </row>
  </sheetData>
  <mergeCells count="30">
    <mergeCell ref="B52:C52"/>
    <mergeCell ref="D52:E52"/>
    <mergeCell ref="B53:C53"/>
    <mergeCell ref="D53:E53"/>
    <mergeCell ref="B54:C54"/>
    <mergeCell ref="D54:E54"/>
    <mergeCell ref="B49:C49"/>
    <mergeCell ref="D49:E49"/>
    <mergeCell ref="B50:C50"/>
    <mergeCell ref="D50:E50"/>
    <mergeCell ref="B51:C51"/>
    <mergeCell ref="D51:E51"/>
    <mergeCell ref="B46:C46"/>
    <mergeCell ref="D46:E46"/>
    <mergeCell ref="B47:C47"/>
    <mergeCell ref="D47:E47"/>
    <mergeCell ref="B48:C48"/>
    <mergeCell ref="D48:E48"/>
    <mergeCell ref="B43:C43"/>
    <mergeCell ref="D43:E43"/>
    <mergeCell ref="B44:C44"/>
    <mergeCell ref="D44:E44"/>
    <mergeCell ref="B45:C45"/>
    <mergeCell ref="D45:E45"/>
    <mergeCell ref="K2:L2"/>
    <mergeCell ref="B39:C41"/>
    <mergeCell ref="D39:E41"/>
    <mergeCell ref="F39:F41"/>
    <mergeCell ref="B42:C42"/>
    <mergeCell ref="D42:E42"/>
  </mergeCells>
  <pageMargins left="0.11811023622047245" right="7.874015748031496E-2" top="0.35433070866141736" bottom="0.55118110236220474" header="0.31496062992125984" footer="0.31496062992125984"/>
  <pageSetup paperSize="9"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O24"/>
  <sheetViews>
    <sheetView workbookViewId="0">
      <selection activeCell="K1" sqref="K1"/>
    </sheetView>
  </sheetViews>
  <sheetFormatPr defaultRowHeight="15"/>
  <cols>
    <col min="1" max="1" width="13.5703125" customWidth="1"/>
    <col min="2" max="2" width="14.7109375" customWidth="1"/>
    <col min="3" max="3" width="8.7109375" customWidth="1"/>
    <col min="4" max="5" width="14.7109375" customWidth="1"/>
    <col min="6" max="6" width="8.7109375" customWidth="1"/>
    <col min="7" max="8" width="14.7109375" customWidth="1"/>
    <col min="9" max="9" width="8.7109375" customWidth="1"/>
    <col min="10" max="11" width="14.7109375" customWidth="1"/>
    <col min="12" max="12" width="8.7109375" customWidth="1"/>
    <col min="13" max="13" width="14.7109375" customWidth="1"/>
  </cols>
  <sheetData>
    <row r="1" spans="1:15" ht="15.75" thickBot="1">
      <c r="A1" s="1" t="s">
        <v>60</v>
      </c>
      <c r="B1" s="1"/>
      <c r="C1" s="1"/>
      <c r="G1" s="271"/>
      <c r="H1" s="271"/>
      <c r="I1" s="271"/>
      <c r="M1" s="270" t="s">
        <v>94</v>
      </c>
    </row>
    <row r="2" spans="1:15" ht="15.75" thickBot="1">
      <c r="A2" s="1"/>
      <c r="B2" s="1"/>
      <c r="C2" s="1"/>
      <c r="G2" s="271"/>
      <c r="H2" s="271"/>
      <c r="I2" s="271"/>
    </row>
    <row r="3" spans="1:15" ht="21.75" thickBot="1">
      <c r="A3" s="819" t="s">
        <v>61</v>
      </c>
      <c r="B3" s="820"/>
      <c r="C3" s="820"/>
      <c r="D3" s="820"/>
      <c r="E3" s="820"/>
      <c r="F3" s="820"/>
      <c r="G3" s="820"/>
      <c r="H3" s="820"/>
      <c r="I3" s="820"/>
      <c r="J3" s="820"/>
      <c r="K3" s="820"/>
      <c r="L3" s="820"/>
      <c r="M3" s="821"/>
      <c r="O3" s="271"/>
    </row>
    <row r="4" spans="1:15" ht="19.5" thickBot="1">
      <c r="A4" s="272"/>
      <c r="B4" s="272"/>
      <c r="C4" s="272"/>
      <c r="D4" s="272"/>
      <c r="E4" s="272"/>
      <c r="F4" s="272"/>
      <c r="O4" s="271"/>
    </row>
    <row r="5" spans="1:15" ht="24.95" customHeight="1" thickBot="1">
      <c r="A5" s="273"/>
      <c r="B5" s="822" t="s">
        <v>62</v>
      </c>
      <c r="C5" s="823"/>
      <c r="D5" s="824"/>
      <c r="E5" s="825" t="s">
        <v>63</v>
      </c>
      <c r="F5" s="826"/>
      <c r="G5" s="827"/>
      <c r="H5" s="828" t="s">
        <v>64</v>
      </c>
      <c r="I5" s="829"/>
      <c r="J5" s="830"/>
      <c r="K5" s="831" t="s">
        <v>23</v>
      </c>
      <c r="L5" s="832"/>
      <c r="M5" s="833"/>
      <c r="O5" s="271"/>
    </row>
    <row r="6" spans="1:15" ht="45" customHeight="1">
      <c r="A6" s="274" t="s">
        <v>65</v>
      </c>
      <c r="B6" s="275" t="s">
        <v>66</v>
      </c>
      <c r="C6" s="276" t="s">
        <v>67</v>
      </c>
      <c r="D6" s="277" t="s">
        <v>68</v>
      </c>
      <c r="E6" s="275" t="s">
        <v>66</v>
      </c>
      <c r="F6" s="276" t="s">
        <v>67</v>
      </c>
      <c r="G6" s="277" t="s">
        <v>68</v>
      </c>
      <c r="H6" s="275" t="s">
        <v>66</v>
      </c>
      <c r="I6" s="276" t="s">
        <v>67</v>
      </c>
      <c r="J6" s="277" t="s">
        <v>68</v>
      </c>
      <c r="K6" s="275" t="s">
        <v>66</v>
      </c>
      <c r="L6" s="276" t="s">
        <v>67</v>
      </c>
      <c r="M6" s="277" t="s">
        <v>68</v>
      </c>
      <c r="O6" s="271"/>
    </row>
    <row r="7" spans="1:15" ht="20.100000000000001" customHeight="1">
      <c r="A7" s="278" t="s">
        <v>69</v>
      </c>
      <c r="B7" s="279">
        <v>391</v>
      </c>
      <c r="C7" s="280">
        <v>35</v>
      </c>
      <c r="D7" s="281">
        <f>B7/C7/31*100</f>
        <v>36.036866359447004</v>
      </c>
      <c r="E7" s="282">
        <v>261</v>
      </c>
      <c r="F7" s="280">
        <v>17</v>
      </c>
      <c r="G7" s="281">
        <f>E7/F7/31*100</f>
        <v>49.525616698292225</v>
      </c>
      <c r="H7" s="282">
        <v>13</v>
      </c>
      <c r="I7" s="280">
        <v>24</v>
      </c>
      <c r="J7" s="281">
        <f>H7/I7/31*100</f>
        <v>1.747311827956989</v>
      </c>
      <c r="K7" s="279">
        <f t="shared" ref="K7:L18" si="0">B7+E7+H7</f>
        <v>665</v>
      </c>
      <c r="L7" s="280">
        <f t="shared" si="0"/>
        <v>76</v>
      </c>
      <c r="M7" s="281">
        <f>K7/L7/31*100</f>
        <v>28.225806451612907</v>
      </c>
      <c r="O7" s="283"/>
    </row>
    <row r="8" spans="1:15" ht="20.100000000000001" customHeight="1">
      <c r="A8" s="284" t="s">
        <v>70</v>
      </c>
      <c r="B8" s="279">
        <v>370</v>
      </c>
      <c r="C8" s="280">
        <v>35</v>
      </c>
      <c r="D8" s="281">
        <f>B8/C8/28*100</f>
        <v>37.755102040816325</v>
      </c>
      <c r="E8" s="282">
        <v>329</v>
      </c>
      <c r="F8" s="280">
        <v>17</v>
      </c>
      <c r="G8" s="281">
        <f>E8/F8/28*100</f>
        <v>69.117647058823522</v>
      </c>
      <c r="H8" s="282">
        <v>0</v>
      </c>
      <c r="I8" s="280">
        <v>24</v>
      </c>
      <c r="J8" s="281">
        <f>H8/I8/28*100</f>
        <v>0</v>
      </c>
      <c r="K8" s="279">
        <f t="shared" si="0"/>
        <v>699</v>
      </c>
      <c r="L8" s="280">
        <f t="shared" si="0"/>
        <v>76</v>
      </c>
      <c r="M8" s="281">
        <f>K8/L8/28*100</f>
        <v>32.847744360902261</v>
      </c>
      <c r="O8" s="271"/>
    </row>
    <row r="9" spans="1:15" ht="20.100000000000001" customHeight="1">
      <c r="A9" s="284" t="s">
        <v>71</v>
      </c>
      <c r="B9" s="279">
        <v>670</v>
      </c>
      <c r="C9" s="280">
        <v>35</v>
      </c>
      <c r="D9" s="281">
        <f>B9/C9/31*100</f>
        <v>61.751152073732719</v>
      </c>
      <c r="E9" s="282">
        <v>330</v>
      </c>
      <c r="F9" s="280">
        <v>17</v>
      </c>
      <c r="G9" s="281">
        <f>E9/F9/31*100</f>
        <v>62.618595825426937</v>
      </c>
      <c r="H9" s="282">
        <v>0</v>
      </c>
      <c r="I9" s="280">
        <v>24</v>
      </c>
      <c r="J9" s="281">
        <f>H9/I9/31*100</f>
        <v>0</v>
      </c>
      <c r="K9" s="279">
        <f t="shared" si="0"/>
        <v>1000</v>
      </c>
      <c r="L9" s="280">
        <f t="shared" si="0"/>
        <v>76</v>
      </c>
      <c r="M9" s="281">
        <f>K9/L9/31*100</f>
        <v>42.444821731748725</v>
      </c>
      <c r="O9" s="271"/>
    </row>
    <row r="10" spans="1:15" ht="20.100000000000001" customHeight="1">
      <c r="A10" s="284" t="s">
        <v>72</v>
      </c>
      <c r="B10" s="279">
        <v>706</v>
      </c>
      <c r="C10" s="280">
        <v>35</v>
      </c>
      <c r="D10" s="281">
        <f>B10/C10/30*100</f>
        <v>67.238095238095241</v>
      </c>
      <c r="E10" s="282">
        <v>373</v>
      </c>
      <c r="F10" s="280">
        <v>17</v>
      </c>
      <c r="G10" s="281">
        <f>E10/F10/30*100</f>
        <v>73.137254901960773</v>
      </c>
      <c r="H10" s="282">
        <v>0</v>
      </c>
      <c r="I10" s="280">
        <v>24</v>
      </c>
      <c r="J10" s="281">
        <f>H10/I10/30*100</f>
        <v>0</v>
      </c>
      <c r="K10" s="279">
        <f t="shared" si="0"/>
        <v>1079</v>
      </c>
      <c r="L10" s="280">
        <f t="shared" si="0"/>
        <v>76</v>
      </c>
      <c r="M10" s="281">
        <f>K10/L10/30*100</f>
        <v>47.324561403508774</v>
      </c>
      <c r="O10" s="271"/>
    </row>
    <row r="11" spans="1:15" ht="20.100000000000001" customHeight="1">
      <c r="A11" s="284" t="s">
        <v>73</v>
      </c>
      <c r="B11" s="279">
        <v>1047</v>
      </c>
      <c r="C11" s="280">
        <v>35</v>
      </c>
      <c r="D11" s="281">
        <f t="shared" ref="D11" si="1">B11/C11/31*100</f>
        <v>96.497695852534562</v>
      </c>
      <c r="E11" s="282">
        <v>347</v>
      </c>
      <c r="F11" s="280">
        <v>17</v>
      </c>
      <c r="G11" s="281">
        <f t="shared" ref="G11" si="2">E11/F11/31*100</f>
        <v>65.844402277039848</v>
      </c>
      <c r="H11" s="282">
        <v>52</v>
      </c>
      <c r="I11" s="280">
        <v>24</v>
      </c>
      <c r="J11" s="281">
        <f t="shared" ref="J11" si="3">H11/I11/31*100</f>
        <v>6.9892473118279561</v>
      </c>
      <c r="K11" s="279">
        <f t="shared" si="0"/>
        <v>1446</v>
      </c>
      <c r="L11" s="280">
        <f t="shared" si="0"/>
        <v>76</v>
      </c>
      <c r="M11" s="281">
        <f t="shared" ref="M11" si="4">K11/L11/31*100</f>
        <v>61.375212224108665</v>
      </c>
      <c r="O11" s="271"/>
    </row>
    <row r="12" spans="1:15" ht="20.100000000000001" customHeight="1">
      <c r="A12" s="284" t="s">
        <v>74</v>
      </c>
      <c r="B12" s="279">
        <v>835</v>
      </c>
      <c r="C12" s="280">
        <v>35</v>
      </c>
      <c r="D12" s="281">
        <f>B12/C12/30*100</f>
        <v>79.523809523809533</v>
      </c>
      <c r="E12" s="282">
        <v>294</v>
      </c>
      <c r="F12" s="280">
        <v>17</v>
      </c>
      <c r="G12" s="281">
        <f>E12/F12/30*100</f>
        <v>57.647058823529406</v>
      </c>
      <c r="H12" s="282">
        <v>509</v>
      </c>
      <c r="I12" s="280">
        <v>24</v>
      </c>
      <c r="J12" s="281">
        <f>H12/I12/30*100</f>
        <v>70.694444444444443</v>
      </c>
      <c r="K12" s="279">
        <f t="shared" si="0"/>
        <v>1638</v>
      </c>
      <c r="L12" s="280">
        <f t="shared" si="0"/>
        <v>76</v>
      </c>
      <c r="M12" s="281">
        <f>K12/L12/30*100</f>
        <v>71.84210526315789</v>
      </c>
      <c r="O12" s="271"/>
    </row>
    <row r="13" spans="1:15" ht="20.100000000000001" customHeight="1">
      <c r="A13" s="284" t="s">
        <v>75</v>
      </c>
      <c r="B13" s="279">
        <v>656</v>
      </c>
      <c r="C13" s="280">
        <v>35</v>
      </c>
      <c r="D13" s="281">
        <f>B13/C13/31*100</f>
        <v>60.460829493087566</v>
      </c>
      <c r="E13" s="282">
        <v>295</v>
      </c>
      <c r="F13" s="280">
        <v>17</v>
      </c>
      <c r="G13" s="281">
        <f>E13/F13/31*100</f>
        <v>55.977229601518019</v>
      </c>
      <c r="H13" s="282">
        <v>466</v>
      </c>
      <c r="I13" s="280">
        <v>24</v>
      </c>
      <c r="J13" s="281">
        <f>H13/I13/31*100</f>
        <v>62.634408602150536</v>
      </c>
      <c r="K13" s="279">
        <f t="shared" si="0"/>
        <v>1417</v>
      </c>
      <c r="L13" s="280">
        <f t="shared" si="0"/>
        <v>76</v>
      </c>
      <c r="M13" s="281">
        <f>K13/L13/31*100</f>
        <v>60.144312393887944</v>
      </c>
      <c r="O13" s="271"/>
    </row>
    <row r="14" spans="1:15" ht="20.100000000000001" customHeight="1">
      <c r="A14" s="284" t="s">
        <v>76</v>
      </c>
      <c r="B14" s="279">
        <v>725</v>
      </c>
      <c r="C14" s="280">
        <v>35</v>
      </c>
      <c r="D14" s="281">
        <f>B14/C14/31*100</f>
        <v>66.820276497695858</v>
      </c>
      <c r="E14" s="282">
        <v>261</v>
      </c>
      <c r="F14" s="280">
        <v>17</v>
      </c>
      <c r="G14" s="281">
        <f>E14/F14/31*100</f>
        <v>49.525616698292225</v>
      </c>
      <c r="H14" s="282">
        <v>442</v>
      </c>
      <c r="I14" s="280">
        <v>24</v>
      </c>
      <c r="J14" s="281">
        <f>H14/I14/31*100</f>
        <v>59.408602150537639</v>
      </c>
      <c r="K14" s="279">
        <f t="shared" si="0"/>
        <v>1428</v>
      </c>
      <c r="L14" s="280">
        <f t="shared" si="0"/>
        <v>76</v>
      </c>
      <c r="M14" s="281">
        <f>K14/L14/31*100</f>
        <v>60.61120543293719</v>
      </c>
      <c r="O14" s="271"/>
    </row>
    <row r="15" spans="1:15" ht="20.100000000000001" customHeight="1">
      <c r="A15" s="284" t="s">
        <v>77</v>
      </c>
      <c r="B15" s="279">
        <v>1001</v>
      </c>
      <c r="C15" s="280">
        <v>35</v>
      </c>
      <c r="D15" s="281">
        <f>B15/C15/30*100</f>
        <v>95.333333333333343</v>
      </c>
      <c r="E15" s="279">
        <v>213</v>
      </c>
      <c r="F15" s="280">
        <v>17</v>
      </c>
      <c r="G15" s="281">
        <f>E15/F15/30*100</f>
        <v>41.764705882352942</v>
      </c>
      <c r="H15" s="279">
        <v>584</v>
      </c>
      <c r="I15" s="280">
        <v>24</v>
      </c>
      <c r="J15" s="281">
        <f>H15/I15/30*100</f>
        <v>81.111111111111114</v>
      </c>
      <c r="K15" s="279">
        <f t="shared" si="0"/>
        <v>1798</v>
      </c>
      <c r="L15" s="280">
        <f t="shared" si="0"/>
        <v>76</v>
      </c>
      <c r="M15" s="281">
        <f>K15/L15/30*100</f>
        <v>78.859649122807014</v>
      </c>
      <c r="O15" s="271"/>
    </row>
    <row r="16" spans="1:15" ht="20.100000000000001" customHeight="1">
      <c r="A16" s="284" t="s">
        <v>78</v>
      </c>
      <c r="B16" s="279">
        <v>813</v>
      </c>
      <c r="C16" s="280">
        <v>35</v>
      </c>
      <c r="D16" s="281">
        <f>B16/C16/31*100</f>
        <v>74.930875576036854</v>
      </c>
      <c r="E16" s="282">
        <v>365</v>
      </c>
      <c r="F16" s="280">
        <v>17</v>
      </c>
      <c r="G16" s="281">
        <f>E16/F16/31*100</f>
        <v>69.259962049335854</v>
      </c>
      <c r="H16" s="279">
        <v>203</v>
      </c>
      <c r="I16" s="280">
        <v>24</v>
      </c>
      <c r="J16" s="281">
        <f>H16/I16/31*100</f>
        <v>27.284946236559144</v>
      </c>
      <c r="K16" s="279">
        <f t="shared" si="0"/>
        <v>1381</v>
      </c>
      <c r="L16" s="280">
        <f t="shared" si="0"/>
        <v>76</v>
      </c>
      <c r="M16" s="281">
        <f>K16/L16/31*100</f>
        <v>58.616298811545001</v>
      </c>
      <c r="O16" s="271"/>
    </row>
    <row r="17" spans="1:15" ht="20.100000000000001" customHeight="1">
      <c r="A17" s="284" t="s">
        <v>79</v>
      </c>
      <c r="B17" s="279">
        <v>574</v>
      </c>
      <c r="C17" s="280">
        <v>35</v>
      </c>
      <c r="D17" s="281">
        <f t="shared" ref="D17" si="5">B17/C17/30*100</f>
        <v>54.666666666666664</v>
      </c>
      <c r="E17" s="279">
        <v>403</v>
      </c>
      <c r="F17" s="280">
        <v>17</v>
      </c>
      <c r="G17" s="281">
        <f t="shared" ref="G17" si="6">E17/F17/30*100</f>
        <v>79.019607843137265</v>
      </c>
      <c r="H17" s="279">
        <v>0</v>
      </c>
      <c r="I17" s="280">
        <v>24</v>
      </c>
      <c r="J17" s="281">
        <f t="shared" ref="J17:J18" si="7">H17/I17/30*100</f>
        <v>0</v>
      </c>
      <c r="K17" s="279">
        <f t="shared" si="0"/>
        <v>977</v>
      </c>
      <c r="L17" s="280">
        <f t="shared" si="0"/>
        <v>76</v>
      </c>
      <c r="M17" s="281">
        <f t="shared" ref="M17" si="8">K17/L17/30*100</f>
        <v>42.850877192982459</v>
      </c>
      <c r="O17" s="271"/>
    </row>
    <row r="18" spans="1:15" ht="20.100000000000001" customHeight="1" thickBot="1">
      <c r="A18" s="285" t="s">
        <v>80</v>
      </c>
      <c r="B18" s="286">
        <v>240</v>
      </c>
      <c r="C18" s="280">
        <v>35</v>
      </c>
      <c r="D18" s="281">
        <f>B18/C18/31*100</f>
        <v>22.119815668202765</v>
      </c>
      <c r="E18" s="286">
        <f>131+207</f>
        <v>338</v>
      </c>
      <c r="F18" s="280">
        <v>17</v>
      </c>
      <c r="G18" s="281">
        <f>E18/F18/31*100</f>
        <v>64.136622390891844</v>
      </c>
      <c r="H18" s="286">
        <v>2</v>
      </c>
      <c r="I18" s="280">
        <v>24</v>
      </c>
      <c r="J18" s="281">
        <f t="shared" si="7"/>
        <v>0.27777777777777773</v>
      </c>
      <c r="K18" s="279">
        <f t="shared" si="0"/>
        <v>580</v>
      </c>
      <c r="L18" s="280">
        <f t="shared" si="0"/>
        <v>76</v>
      </c>
      <c r="M18" s="281">
        <f>K18/L18/31*100</f>
        <v>24.617996604414262</v>
      </c>
      <c r="O18" s="271"/>
    </row>
    <row r="19" spans="1:15" ht="69.95" customHeight="1" thickBot="1">
      <c r="A19" s="287" t="s">
        <v>81</v>
      </c>
      <c r="B19" s="288">
        <f>SUM(B7:B18)</f>
        <v>8028</v>
      </c>
      <c r="C19" s="289">
        <f>AVERAGE(C7:C18)</f>
        <v>35</v>
      </c>
      <c r="D19" s="289">
        <f>AVERAGE(D7:D18)</f>
        <v>62.761209860288204</v>
      </c>
      <c r="E19" s="290">
        <f>SUM(E7:E18)</f>
        <v>3809</v>
      </c>
      <c r="F19" s="291">
        <f>AVERAGE(F7:F18)</f>
        <v>17</v>
      </c>
      <c r="G19" s="291">
        <f>AVERAGE(G7:G18)</f>
        <v>61.464526670883401</v>
      </c>
      <c r="H19" s="292">
        <f>SUM(H7:H18)</f>
        <v>2271</v>
      </c>
      <c r="I19" s="293">
        <f>AVERAGE(I7:I18)</f>
        <v>24</v>
      </c>
      <c r="J19" s="293">
        <f>AVERAGE(J7:J18)</f>
        <v>25.845654121863799</v>
      </c>
      <c r="K19" s="294">
        <f>SUM(K7:K18)</f>
        <v>14108</v>
      </c>
      <c r="L19" s="295">
        <f>AVERAGE(L7:L18)</f>
        <v>76</v>
      </c>
      <c r="M19" s="296">
        <f>AVERAGE(M7:M18)</f>
        <v>50.813382582801097</v>
      </c>
      <c r="O19" s="271"/>
    </row>
    <row r="20" spans="1:15" s="209" customFormat="1" ht="9.9499999999999993" customHeight="1"/>
    <row r="21" spans="1:15" s="209" customFormat="1" ht="15" customHeight="1">
      <c r="A21" s="297" t="s">
        <v>82</v>
      </c>
    </row>
    <row r="22" spans="1:15" s="209" customFormat="1" ht="15" customHeight="1">
      <c r="A22" s="297" t="s">
        <v>83</v>
      </c>
    </row>
    <row r="23" spans="1:15" s="209" customFormat="1" ht="15" customHeight="1">
      <c r="A23" s="297" t="s">
        <v>84</v>
      </c>
      <c r="B23" s="298"/>
      <c r="C23" s="298"/>
      <c r="D23" s="298"/>
      <c r="E23" s="298"/>
      <c r="F23" s="298"/>
      <c r="G23" s="298"/>
      <c r="H23" s="298"/>
      <c r="I23" s="298"/>
      <c r="J23" s="299"/>
    </row>
    <row r="24" spans="1:15" s="209" customFormat="1" ht="15" customHeight="1">
      <c r="A24" s="209" t="s">
        <v>85</v>
      </c>
    </row>
  </sheetData>
  <mergeCells count="5">
    <mergeCell ref="A3:M3"/>
    <mergeCell ref="B5:D5"/>
    <mergeCell ref="E5:G5"/>
    <mergeCell ref="H5:J5"/>
    <mergeCell ref="K5:M5"/>
  </mergeCells>
  <pageMargins left="0.7" right="0.7" top="0.75" bottom="0.75" header="0.3" footer="0.3"/>
  <pageSetup paperSize="9" scale="75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J24"/>
  <sheetViews>
    <sheetView workbookViewId="0">
      <selection activeCell="D2" sqref="D2"/>
    </sheetView>
  </sheetViews>
  <sheetFormatPr defaultRowHeight="15"/>
  <cols>
    <col min="1" max="1" width="13.85546875" customWidth="1"/>
    <col min="2" max="4" width="25.7109375" customWidth="1"/>
  </cols>
  <sheetData>
    <row r="1" spans="1:7" ht="15.75" thickBot="1">
      <c r="A1" s="1" t="s">
        <v>60</v>
      </c>
      <c r="B1" s="1"/>
      <c r="C1" s="1"/>
      <c r="D1" s="270" t="s">
        <v>241</v>
      </c>
    </row>
    <row r="2" spans="1:7" ht="15.75" thickBot="1">
      <c r="A2" s="1"/>
      <c r="B2" s="1"/>
      <c r="C2" s="1"/>
    </row>
    <row r="3" spans="1:7" ht="41.25" customHeight="1" thickBot="1">
      <c r="A3" s="834" t="s">
        <v>87</v>
      </c>
      <c r="B3" s="835"/>
      <c r="C3" s="835"/>
      <c r="D3" s="836"/>
      <c r="E3" s="209"/>
      <c r="F3" s="209"/>
      <c r="G3" s="209"/>
    </row>
    <row r="4" spans="1:7" ht="19.5" thickBot="1">
      <c r="A4" s="272"/>
      <c r="B4" s="272"/>
      <c r="C4" s="272"/>
      <c r="D4" s="272"/>
      <c r="F4" s="271"/>
    </row>
    <row r="5" spans="1:7" ht="24.95" customHeight="1" thickBot="1">
      <c r="A5" s="273"/>
      <c r="B5" s="837" t="s">
        <v>88</v>
      </c>
      <c r="C5" s="838"/>
      <c r="D5" s="839"/>
      <c r="F5" s="271"/>
    </row>
    <row r="6" spans="1:7" ht="45" customHeight="1" thickBot="1">
      <c r="A6" s="300" t="s">
        <v>65</v>
      </c>
      <c r="B6" s="301" t="s">
        <v>89</v>
      </c>
      <c r="C6" s="302" t="s">
        <v>90</v>
      </c>
      <c r="D6" s="303" t="s">
        <v>68</v>
      </c>
      <c r="F6" s="271"/>
    </row>
    <row r="7" spans="1:7" ht="20.100000000000001" customHeight="1">
      <c r="A7" s="278" t="s">
        <v>69</v>
      </c>
      <c r="B7" s="304">
        <v>2658</v>
      </c>
      <c r="C7" s="305">
        <v>130</v>
      </c>
      <c r="D7" s="306">
        <f>B7/C7/31*100</f>
        <v>65.955334987593048</v>
      </c>
      <c r="F7" s="271"/>
    </row>
    <row r="8" spans="1:7" ht="20.100000000000001" customHeight="1">
      <c r="A8" s="284" t="s">
        <v>70</v>
      </c>
      <c r="B8" s="279">
        <v>2603</v>
      </c>
      <c r="C8" s="280">
        <v>130</v>
      </c>
      <c r="D8" s="281">
        <f>B8/C8/28*100</f>
        <v>71.510989010989007</v>
      </c>
      <c r="F8" s="271"/>
    </row>
    <row r="9" spans="1:7" ht="20.100000000000001" customHeight="1">
      <c r="A9" s="284" t="s">
        <v>71</v>
      </c>
      <c r="B9" s="279">
        <v>3290</v>
      </c>
      <c r="C9" s="280">
        <v>130</v>
      </c>
      <c r="D9" s="281">
        <f>B9/C9/31*100</f>
        <v>81.637717121588082</v>
      </c>
      <c r="F9" s="271"/>
    </row>
    <row r="10" spans="1:7" ht="20.100000000000001" customHeight="1">
      <c r="A10" s="284" t="s">
        <v>72</v>
      </c>
      <c r="B10" s="279">
        <v>2973</v>
      </c>
      <c r="C10" s="280">
        <v>130</v>
      </c>
      <c r="D10" s="281">
        <f>B10/C10/30*100</f>
        <v>76.230769230769226</v>
      </c>
      <c r="F10" s="271"/>
    </row>
    <row r="11" spans="1:7" ht="20.100000000000001" customHeight="1">
      <c r="A11" s="284" t="s">
        <v>73</v>
      </c>
      <c r="B11" s="279">
        <v>2714</v>
      </c>
      <c r="C11" s="280">
        <v>130</v>
      </c>
      <c r="D11" s="281">
        <f>B11/C11/31*100</f>
        <v>67.344913151364764</v>
      </c>
      <c r="F11" s="271"/>
    </row>
    <row r="12" spans="1:7" ht="20.100000000000001" customHeight="1">
      <c r="A12" s="284" t="s">
        <v>74</v>
      </c>
      <c r="B12" s="279">
        <v>2243</v>
      </c>
      <c r="C12" s="280">
        <v>130</v>
      </c>
      <c r="D12" s="281">
        <f>B12/C12/30*100</f>
        <v>57.512820512820518</v>
      </c>
      <c r="F12" s="271"/>
    </row>
    <row r="13" spans="1:7" ht="20.100000000000001" customHeight="1">
      <c r="A13" s="284" t="s">
        <v>75</v>
      </c>
      <c r="B13" s="279">
        <v>2454</v>
      </c>
      <c r="C13" s="280">
        <v>130</v>
      </c>
      <c r="D13" s="281">
        <f>B13/C13/31*100</f>
        <v>60.893300248138956</v>
      </c>
      <c r="F13" s="271"/>
    </row>
    <row r="14" spans="1:7" ht="20.100000000000001" customHeight="1">
      <c r="A14" s="284" t="s">
        <v>76</v>
      </c>
      <c r="B14" s="279">
        <v>2296</v>
      </c>
      <c r="C14" s="280">
        <v>130</v>
      </c>
      <c r="D14" s="281">
        <f>B14/C14/31*100</f>
        <v>56.972704714640201</v>
      </c>
      <c r="F14" s="271"/>
    </row>
    <row r="15" spans="1:7" ht="20.100000000000001" customHeight="1">
      <c r="A15" s="284" t="s">
        <v>77</v>
      </c>
      <c r="B15" s="279">
        <v>1983</v>
      </c>
      <c r="C15" s="280">
        <v>130</v>
      </c>
      <c r="D15" s="281">
        <f>B15/C15/30*100</f>
        <v>50.846153846153854</v>
      </c>
      <c r="F15" s="271"/>
    </row>
    <row r="16" spans="1:7" ht="20.100000000000001" customHeight="1">
      <c r="A16" s="284" t="s">
        <v>78</v>
      </c>
      <c r="B16" s="279">
        <v>2602</v>
      </c>
      <c r="C16" s="280">
        <v>130</v>
      </c>
      <c r="D16" s="281">
        <f t="shared" ref="D16:D18" si="0">B16/C16/31*100</f>
        <v>64.565756823821346</v>
      </c>
      <c r="F16" s="271"/>
    </row>
    <row r="17" spans="1:10" ht="20.100000000000001" customHeight="1">
      <c r="A17" s="284" t="s">
        <v>79</v>
      </c>
      <c r="B17" s="279">
        <v>3119</v>
      </c>
      <c r="C17" s="280">
        <v>130</v>
      </c>
      <c r="D17" s="281">
        <f>B17/C17/30*100</f>
        <v>79.974358974358978</v>
      </c>
      <c r="F17" s="271"/>
    </row>
    <row r="18" spans="1:10" ht="20.100000000000001" customHeight="1" thickBot="1">
      <c r="A18" s="285" t="s">
        <v>80</v>
      </c>
      <c r="B18" s="286">
        <v>2827</v>
      </c>
      <c r="C18" s="280">
        <v>130</v>
      </c>
      <c r="D18" s="281">
        <f t="shared" si="0"/>
        <v>70.148883374689817</v>
      </c>
      <c r="F18" s="271"/>
    </row>
    <row r="19" spans="1:10" ht="63.75" customHeight="1" thickBot="1">
      <c r="A19" s="287" t="s">
        <v>81</v>
      </c>
      <c r="B19" s="307">
        <f>SUM(B7:B18)</f>
        <v>31762</v>
      </c>
      <c r="C19" s="308">
        <f>AVERAGE(C7:C18)</f>
        <v>130</v>
      </c>
      <c r="D19" s="309">
        <f>AVERAGE(D7:D18)</f>
        <v>66.96614183307733</v>
      </c>
      <c r="F19" s="271"/>
    </row>
    <row r="20" spans="1:10" s="209" customFormat="1" ht="9.9499999999999993" customHeight="1"/>
    <row r="21" spans="1:10" s="209" customFormat="1" ht="15" customHeight="1">
      <c r="A21" s="297" t="s">
        <v>91</v>
      </c>
    </row>
    <row r="22" spans="1:10" s="209" customFormat="1" ht="15" customHeight="1">
      <c r="A22" s="297" t="s">
        <v>92</v>
      </c>
    </row>
    <row r="23" spans="1:10" s="209" customFormat="1" ht="15" customHeight="1">
      <c r="A23" s="297" t="s">
        <v>93</v>
      </c>
      <c r="B23" s="298"/>
      <c r="C23" s="298"/>
      <c r="D23" s="298"/>
      <c r="E23" s="298"/>
      <c r="F23" s="298"/>
      <c r="G23" s="298"/>
      <c r="H23" s="298"/>
      <c r="I23" s="298"/>
      <c r="J23" s="298"/>
    </row>
    <row r="24" spans="1:10" s="209" customFormat="1" ht="15" customHeight="1">
      <c r="A24" s="298"/>
      <c r="B24" s="298"/>
      <c r="C24" s="298"/>
      <c r="D24" s="298"/>
      <c r="E24" s="298"/>
      <c r="F24" s="298"/>
      <c r="G24" s="298"/>
      <c r="H24" s="298"/>
      <c r="I24" s="298"/>
      <c r="J24" s="298"/>
    </row>
  </sheetData>
  <mergeCells count="2">
    <mergeCell ref="A3:D3"/>
    <mergeCell ref="B5:D5"/>
  </mergeCells>
  <pageMargins left="0.7" right="0.7" top="0.75" bottom="0.75" header="0.3" footer="0.3"/>
  <pageSetup paperSize="9" scale="75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H33"/>
  <sheetViews>
    <sheetView zoomScale="75" workbookViewId="0">
      <selection activeCell="AD8" sqref="AD8"/>
    </sheetView>
  </sheetViews>
  <sheetFormatPr defaultRowHeight="15"/>
  <cols>
    <col min="1" max="1" width="7" style="312" customWidth="1"/>
    <col min="2" max="2" width="29.5703125" style="334" customWidth="1"/>
    <col min="3" max="3" width="8.5703125" style="312" customWidth="1"/>
    <col min="4" max="4" width="9" style="312" customWidth="1"/>
    <col min="5" max="5" width="8.85546875" style="312" customWidth="1"/>
    <col min="6" max="6" width="9.140625" style="312" customWidth="1"/>
    <col min="7" max="7" width="8.85546875" style="312" customWidth="1"/>
    <col min="8" max="8" width="9.140625" style="312" customWidth="1"/>
    <col min="9" max="9" width="8.28515625" style="312" customWidth="1"/>
    <col min="10" max="10" width="9.140625" style="312" customWidth="1"/>
    <col min="11" max="11" width="8.85546875" style="312" customWidth="1"/>
    <col min="12" max="12" width="9.140625" style="312" customWidth="1"/>
    <col min="13" max="13" width="8.7109375" style="312" customWidth="1"/>
    <col min="14" max="14" width="9.140625" style="312" customWidth="1"/>
    <col min="15" max="15" width="8.42578125" style="312" customWidth="1"/>
    <col min="16" max="17" width="9" style="312" customWidth="1"/>
    <col min="18" max="18" width="8.85546875" style="312" customWidth="1"/>
    <col min="19" max="21" width="8.5703125" style="347" customWidth="1"/>
    <col min="22" max="22" width="8.42578125" style="347" customWidth="1"/>
    <col min="23" max="23" width="8.28515625" style="347" customWidth="1"/>
    <col min="24" max="24" width="9.140625" style="347" customWidth="1"/>
    <col min="25" max="25" width="9" style="349" customWidth="1"/>
    <col min="26" max="26" width="9.140625" style="349" customWidth="1"/>
    <col min="27" max="27" width="11.42578125" style="347" customWidth="1"/>
    <col min="28" max="28" width="10.5703125" style="312" customWidth="1"/>
    <col min="29" max="268" width="9.140625" style="312"/>
    <col min="269" max="269" width="16.7109375" style="312" customWidth="1"/>
    <col min="270" max="270" width="35.7109375" style="312" customWidth="1"/>
    <col min="271" max="283" width="14.7109375" style="312" customWidth="1"/>
    <col min="284" max="524" width="9.140625" style="312"/>
    <col min="525" max="525" width="16.7109375" style="312" customWidth="1"/>
    <col min="526" max="526" width="35.7109375" style="312" customWidth="1"/>
    <col min="527" max="539" width="14.7109375" style="312" customWidth="1"/>
    <col min="540" max="780" width="9.140625" style="312"/>
    <col min="781" max="781" width="16.7109375" style="312" customWidth="1"/>
    <col min="782" max="782" width="35.7109375" style="312" customWidth="1"/>
    <col min="783" max="795" width="14.7109375" style="312" customWidth="1"/>
    <col min="796" max="1036" width="9.140625" style="312"/>
    <col min="1037" max="1037" width="16.7109375" style="312" customWidth="1"/>
    <col min="1038" max="1038" width="35.7109375" style="312" customWidth="1"/>
    <col min="1039" max="1051" width="14.7109375" style="312" customWidth="1"/>
    <col min="1052" max="1292" width="9.140625" style="312"/>
    <col min="1293" max="1293" width="16.7109375" style="312" customWidth="1"/>
    <col min="1294" max="1294" width="35.7109375" style="312" customWidth="1"/>
    <col min="1295" max="1307" width="14.7109375" style="312" customWidth="1"/>
    <col min="1308" max="1548" width="9.140625" style="312"/>
    <col min="1549" max="1549" width="16.7109375" style="312" customWidth="1"/>
    <col min="1550" max="1550" width="35.7109375" style="312" customWidth="1"/>
    <col min="1551" max="1563" width="14.7109375" style="312" customWidth="1"/>
    <col min="1564" max="1804" width="9.140625" style="312"/>
    <col min="1805" max="1805" width="16.7109375" style="312" customWidth="1"/>
    <col min="1806" max="1806" width="35.7109375" style="312" customWidth="1"/>
    <col min="1807" max="1819" width="14.7109375" style="312" customWidth="1"/>
    <col min="1820" max="2060" width="9.140625" style="312"/>
    <col min="2061" max="2061" width="16.7109375" style="312" customWidth="1"/>
    <col min="2062" max="2062" width="35.7109375" style="312" customWidth="1"/>
    <col min="2063" max="2075" width="14.7109375" style="312" customWidth="1"/>
    <col min="2076" max="2316" width="9.140625" style="312"/>
    <col min="2317" max="2317" width="16.7109375" style="312" customWidth="1"/>
    <col min="2318" max="2318" width="35.7109375" style="312" customWidth="1"/>
    <col min="2319" max="2331" width="14.7109375" style="312" customWidth="1"/>
    <col min="2332" max="2572" width="9.140625" style="312"/>
    <col min="2573" max="2573" width="16.7109375" style="312" customWidth="1"/>
    <col min="2574" max="2574" width="35.7109375" style="312" customWidth="1"/>
    <col min="2575" max="2587" width="14.7109375" style="312" customWidth="1"/>
    <col min="2588" max="2828" width="9.140625" style="312"/>
    <col min="2829" max="2829" width="16.7109375" style="312" customWidth="1"/>
    <col min="2830" max="2830" width="35.7109375" style="312" customWidth="1"/>
    <col min="2831" max="2843" width="14.7109375" style="312" customWidth="1"/>
    <col min="2844" max="3084" width="9.140625" style="312"/>
    <col min="3085" max="3085" width="16.7109375" style="312" customWidth="1"/>
    <col min="3086" max="3086" width="35.7109375" style="312" customWidth="1"/>
    <col min="3087" max="3099" width="14.7109375" style="312" customWidth="1"/>
    <col min="3100" max="3340" width="9.140625" style="312"/>
    <col min="3341" max="3341" width="16.7109375" style="312" customWidth="1"/>
    <col min="3342" max="3342" width="35.7109375" style="312" customWidth="1"/>
    <col min="3343" max="3355" width="14.7109375" style="312" customWidth="1"/>
    <col min="3356" max="3596" width="9.140625" style="312"/>
    <col min="3597" max="3597" width="16.7109375" style="312" customWidth="1"/>
    <col min="3598" max="3598" width="35.7109375" style="312" customWidth="1"/>
    <col min="3599" max="3611" width="14.7109375" style="312" customWidth="1"/>
    <col min="3612" max="3852" width="9.140625" style="312"/>
    <col min="3853" max="3853" width="16.7109375" style="312" customWidth="1"/>
    <col min="3854" max="3854" width="35.7109375" style="312" customWidth="1"/>
    <col min="3855" max="3867" width="14.7109375" style="312" customWidth="1"/>
    <col min="3868" max="4108" width="9.140625" style="312"/>
    <col min="4109" max="4109" width="16.7109375" style="312" customWidth="1"/>
    <col min="4110" max="4110" width="35.7109375" style="312" customWidth="1"/>
    <col min="4111" max="4123" width="14.7109375" style="312" customWidth="1"/>
    <col min="4124" max="4364" width="9.140625" style="312"/>
    <col min="4365" max="4365" width="16.7109375" style="312" customWidth="1"/>
    <col min="4366" max="4366" width="35.7109375" style="312" customWidth="1"/>
    <col min="4367" max="4379" width="14.7109375" style="312" customWidth="1"/>
    <col min="4380" max="4620" width="9.140625" style="312"/>
    <col min="4621" max="4621" width="16.7109375" style="312" customWidth="1"/>
    <col min="4622" max="4622" width="35.7109375" style="312" customWidth="1"/>
    <col min="4623" max="4635" width="14.7109375" style="312" customWidth="1"/>
    <col min="4636" max="4876" width="9.140625" style="312"/>
    <col min="4877" max="4877" width="16.7109375" style="312" customWidth="1"/>
    <col min="4878" max="4878" width="35.7109375" style="312" customWidth="1"/>
    <col min="4879" max="4891" width="14.7109375" style="312" customWidth="1"/>
    <col min="4892" max="5132" width="9.140625" style="312"/>
    <col min="5133" max="5133" width="16.7109375" style="312" customWidth="1"/>
    <col min="5134" max="5134" width="35.7109375" style="312" customWidth="1"/>
    <col min="5135" max="5147" width="14.7109375" style="312" customWidth="1"/>
    <col min="5148" max="5388" width="9.140625" style="312"/>
    <col min="5389" max="5389" width="16.7109375" style="312" customWidth="1"/>
    <col min="5390" max="5390" width="35.7109375" style="312" customWidth="1"/>
    <col min="5391" max="5403" width="14.7109375" style="312" customWidth="1"/>
    <col min="5404" max="5644" width="9.140625" style="312"/>
    <col min="5645" max="5645" width="16.7109375" style="312" customWidth="1"/>
    <col min="5646" max="5646" width="35.7109375" style="312" customWidth="1"/>
    <col min="5647" max="5659" width="14.7109375" style="312" customWidth="1"/>
    <col min="5660" max="5900" width="9.140625" style="312"/>
    <col min="5901" max="5901" width="16.7109375" style="312" customWidth="1"/>
    <col min="5902" max="5902" width="35.7109375" style="312" customWidth="1"/>
    <col min="5903" max="5915" width="14.7109375" style="312" customWidth="1"/>
    <col min="5916" max="6156" width="9.140625" style="312"/>
    <col min="6157" max="6157" width="16.7109375" style="312" customWidth="1"/>
    <col min="6158" max="6158" width="35.7109375" style="312" customWidth="1"/>
    <col min="6159" max="6171" width="14.7109375" style="312" customWidth="1"/>
    <col min="6172" max="6412" width="9.140625" style="312"/>
    <col min="6413" max="6413" width="16.7109375" style="312" customWidth="1"/>
    <col min="6414" max="6414" width="35.7109375" style="312" customWidth="1"/>
    <col min="6415" max="6427" width="14.7109375" style="312" customWidth="1"/>
    <col min="6428" max="6668" width="9.140625" style="312"/>
    <col min="6669" max="6669" width="16.7109375" style="312" customWidth="1"/>
    <col min="6670" max="6670" width="35.7109375" style="312" customWidth="1"/>
    <col min="6671" max="6683" width="14.7109375" style="312" customWidth="1"/>
    <col min="6684" max="6924" width="9.140625" style="312"/>
    <col min="6925" max="6925" width="16.7109375" style="312" customWidth="1"/>
    <col min="6926" max="6926" width="35.7109375" style="312" customWidth="1"/>
    <col min="6927" max="6939" width="14.7109375" style="312" customWidth="1"/>
    <col min="6940" max="7180" width="9.140625" style="312"/>
    <col min="7181" max="7181" width="16.7109375" style="312" customWidth="1"/>
    <col min="7182" max="7182" width="35.7109375" style="312" customWidth="1"/>
    <col min="7183" max="7195" width="14.7109375" style="312" customWidth="1"/>
    <col min="7196" max="7436" width="9.140625" style="312"/>
    <col min="7437" max="7437" width="16.7109375" style="312" customWidth="1"/>
    <col min="7438" max="7438" width="35.7109375" style="312" customWidth="1"/>
    <col min="7439" max="7451" width="14.7109375" style="312" customWidth="1"/>
    <col min="7452" max="7692" width="9.140625" style="312"/>
    <col min="7693" max="7693" width="16.7109375" style="312" customWidth="1"/>
    <col min="7694" max="7694" width="35.7109375" style="312" customWidth="1"/>
    <col min="7695" max="7707" width="14.7109375" style="312" customWidth="1"/>
    <col min="7708" max="7948" width="9.140625" style="312"/>
    <col min="7949" max="7949" width="16.7109375" style="312" customWidth="1"/>
    <col min="7950" max="7950" width="35.7109375" style="312" customWidth="1"/>
    <col min="7951" max="7963" width="14.7109375" style="312" customWidth="1"/>
    <col min="7964" max="8204" width="9.140625" style="312"/>
    <col min="8205" max="8205" width="16.7109375" style="312" customWidth="1"/>
    <col min="8206" max="8206" width="35.7109375" style="312" customWidth="1"/>
    <col min="8207" max="8219" width="14.7109375" style="312" customWidth="1"/>
    <col min="8220" max="8460" width="9.140625" style="312"/>
    <col min="8461" max="8461" width="16.7109375" style="312" customWidth="1"/>
    <col min="8462" max="8462" width="35.7109375" style="312" customWidth="1"/>
    <col min="8463" max="8475" width="14.7109375" style="312" customWidth="1"/>
    <col min="8476" max="8716" width="9.140625" style="312"/>
    <col min="8717" max="8717" width="16.7109375" style="312" customWidth="1"/>
    <col min="8718" max="8718" width="35.7109375" style="312" customWidth="1"/>
    <col min="8719" max="8731" width="14.7109375" style="312" customWidth="1"/>
    <col min="8732" max="8972" width="9.140625" style="312"/>
    <col min="8973" max="8973" width="16.7109375" style="312" customWidth="1"/>
    <col min="8974" max="8974" width="35.7109375" style="312" customWidth="1"/>
    <col min="8975" max="8987" width="14.7109375" style="312" customWidth="1"/>
    <col min="8988" max="9228" width="9.140625" style="312"/>
    <col min="9229" max="9229" width="16.7109375" style="312" customWidth="1"/>
    <col min="9230" max="9230" width="35.7109375" style="312" customWidth="1"/>
    <col min="9231" max="9243" width="14.7109375" style="312" customWidth="1"/>
    <col min="9244" max="9484" width="9.140625" style="312"/>
    <col min="9485" max="9485" width="16.7109375" style="312" customWidth="1"/>
    <col min="9486" max="9486" width="35.7109375" style="312" customWidth="1"/>
    <col min="9487" max="9499" width="14.7109375" style="312" customWidth="1"/>
    <col min="9500" max="9740" width="9.140625" style="312"/>
    <col min="9741" max="9741" width="16.7109375" style="312" customWidth="1"/>
    <col min="9742" max="9742" width="35.7109375" style="312" customWidth="1"/>
    <col min="9743" max="9755" width="14.7109375" style="312" customWidth="1"/>
    <col min="9756" max="9996" width="9.140625" style="312"/>
    <col min="9997" max="9997" width="16.7109375" style="312" customWidth="1"/>
    <col min="9998" max="9998" width="35.7109375" style="312" customWidth="1"/>
    <col min="9999" max="10011" width="14.7109375" style="312" customWidth="1"/>
    <col min="10012" max="10252" width="9.140625" style="312"/>
    <col min="10253" max="10253" width="16.7109375" style="312" customWidth="1"/>
    <col min="10254" max="10254" width="35.7109375" style="312" customWidth="1"/>
    <col min="10255" max="10267" width="14.7109375" style="312" customWidth="1"/>
    <col min="10268" max="10508" width="9.140625" style="312"/>
    <col min="10509" max="10509" width="16.7109375" style="312" customWidth="1"/>
    <col min="10510" max="10510" width="35.7109375" style="312" customWidth="1"/>
    <col min="10511" max="10523" width="14.7109375" style="312" customWidth="1"/>
    <col min="10524" max="10764" width="9.140625" style="312"/>
    <col min="10765" max="10765" width="16.7109375" style="312" customWidth="1"/>
    <col min="10766" max="10766" width="35.7109375" style="312" customWidth="1"/>
    <col min="10767" max="10779" width="14.7109375" style="312" customWidth="1"/>
    <col min="10780" max="11020" width="9.140625" style="312"/>
    <col min="11021" max="11021" width="16.7109375" style="312" customWidth="1"/>
    <col min="11022" max="11022" width="35.7109375" style="312" customWidth="1"/>
    <col min="11023" max="11035" width="14.7109375" style="312" customWidth="1"/>
    <col min="11036" max="11276" width="9.140625" style="312"/>
    <col min="11277" max="11277" width="16.7109375" style="312" customWidth="1"/>
    <col min="11278" max="11278" width="35.7109375" style="312" customWidth="1"/>
    <col min="11279" max="11291" width="14.7109375" style="312" customWidth="1"/>
    <col min="11292" max="11532" width="9.140625" style="312"/>
    <col min="11533" max="11533" width="16.7109375" style="312" customWidth="1"/>
    <col min="11534" max="11534" width="35.7109375" style="312" customWidth="1"/>
    <col min="11535" max="11547" width="14.7109375" style="312" customWidth="1"/>
    <col min="11548" max="11788" width="9.140625" style="312"/>
    <col min="11789" max="11789" width="16.7109375" style="312" customWidth="1"/>
    <col min="11790" max="11790" width="35.7109375" style="312" customWidth="1"/>
    <col min="11791" max="11803" width="14.7109375" style="312" customWidth="1"/>
    <col min="11804" max="12044" width="9.140625" style="312"/>
    <col min="12045" max="12045" width="16.7109375" style="312" customWidth="1"/>
    <col min="12046" max="12046" width="35.7109375" style="312" customWidth="1"/>
    <col min="12047" max="12059" width="14.7109375" style="312" customWidth="1"/>
    <col min="12060" max="12300" width="9.140625" style="312"/>
    <col min="12301" max="12301" width="16.7109375" style="312" customWidth="1"/>
    <col min="12302" max="12302" width="35.7109375" style="312" customWidth="1"/>
    <col min="12303" max="12315" width="14.7109375" style="312" customWidth="1"/>
    <col min="12316" max="12556" width="9.140625" style="312"/>
    <col min="12557" max="12557" width="16.7109375" style="312" customWidth="1"/>
    <col min="12558" max="12558" width="35.7109375" style="312" customWidth="1"/>
    <col min="12559" max="12571" width="14.7109375" style="312" customWidth="1"/>
    <col min="12572" max="12812" width="9.140625" style="312"/>
    <col min="12813" max="12813" width="16.7109375" style="312" customWidth="1"/>
    <col min="12814" max="12814" width="35.7109375" style="312" customWidth="1"/>
    <col min="12815" max="12827" width="14.7109375" style="312" customWidth="1"/>
    <col min="12828" max="13068" width="9.140625" style="312"/>
    <col min="13069" max="13069" width="16.7109375" style="312" customWidth="1"/>
    <col min="13070" max="13070" width="35.7109375" style="312" customWidth="1"/>
    <col min="13071" max="13083" width="14.7109375" style="312" customWidth="1"/>
    <col min="13084" max="13324" width="9.140625" style="312"/>
    <col min="13325" max="13325" width="16.7109375" style="312" customWidth="1"/>
    <col min="13326" max="13326" width="35.7109375" style="312" customWidth="1"/>
    <col min="13327" max="13339" width="14.7109375" style="312" customWidth="1"/>
    <col min="13340" max="13580" width="9.140625" style="312"/>
    <col min="13581" max="13581" width="16.7109375" style="312" customWidth="1"/>
    <col min="13582" max="13582" width="35.7109375" style="312" customWidth="1"/>
    <col min="13583" max="13595" width="14.7109375" style="312" customWidth="1"/>
    <col min="13596" max="13836" width="9.140625" style="312"/>
    <col min="13837" max="13837" width="16.7109375" style="312" customWidth="1"/>
    <col min="13838" max="13838" width="35.7109375" style="312" customWidth="1"/>
    <col min="13839" max="13851" width="14.7109375" style="312" customWidth="1"/>
    <col min="13852" max="14092" width="9.140625" style="312"/>
    <col min="14093" max="14093" width="16.7109375" style="312" customWidth="1"/>
    <col min="14094" max="14094" width="35.7109375" style="312" customWidth="1"/>
    <col min="14095" max="14107" width="14.7109375" style="312" customWidth="1"/>
    <col min="14108" max="14348" width="9.140625" style="312"/>
    <col min="14349" max="14349" width="16.7109375" style="312" customWidth="1"/>
    <col min="14350" max="14350" width="35.7109375" style="312" customWidth="1"/>
    <col min="14351" max="14363" width="14.7109375" style="312" customWidth="1"/>
    <col min="14364" max="14604" width="9.140625" style="312"/>
    <col min="14605" max="14605" width="16.7109375" style="312" customWidth="1"/>
    <col min="14606" max="14606" width="35.7109375" style="312" customWidth="1"/>
    <col min="14607" max="14619" width="14.7109375" style="312" customWidth="1"/>
    <col min="14620" max="14860" width="9.140625" style="312"/>
    <col min="14861" max="14861" width="16.7109375" style="312" customWidth="1"/>
    <col min="14862" max="14862" width="35.7109375" style="312" customWidth="1"/>
    <col min="14863" max="14875" width="14.7109375" style="312" customWidth="1"/>
    <col min="14876" max="15116" width="9.140625" style="312"/>
    <col min="15117" max="15117" width="16.7109375" style="312" customWidth="1"/>
    <col min="15118" max="15118" width="35.7109375" style="312" customWidth="1"/>
    <col min="15119" max="15131" width="14.7109375" style="312" customWidth="1"/>
    <col min="15132" max="15372" width="9.140625" style="312"/>
    <col min="15373" max="15373" width="16.7109375" style="312" customWidth="1"/>
    <col min="15374" max="15374" width="35.7109375" style="312" customWidth="1"/>
    <col min="15375" max="15387" width="14.7109375" style="312" customWidth="1"/>
    <col min="15388" max="15628" width="9.140625" style="312"/>
    <col min="15629" max="15629" width="16.7109375" style="312" customWidth="1"/>
    <col min="15630" max="15630" width="35.7109375" style="312" customWidth="1"/>
    <col min="15631" max="15643" width="14.7109375" style="312" customWidth="1"/>
    <col min="15644" max="15884" width="9.140625" style="312"/>
    <col min="15885" max="15885" width="16.7109375" style="312" customWidth="1"/>
    <col min="15886" max="15886" width="35.7109375" style="312" customWidth="1"/>
    <col min="15887" max="15899" width="14.7109375" style="312" customWidth="1"/>
    <col min="15900" max="16140" width="9.140625" style="312"/>
    <col min="16141" max="16141" width="16.7109375" style="312" customWidth="1"/>
    <col min="16142" max="16142" width="35.7109375" style="312" customWidth="1"/>
    <col min="16143" max="16155" width="14.7109375" style="312" customWidth="1"/>
    <col min="16156" max="16384" width="9.140625" style="312"/>
  </cols>
  <sheetData>
    <row r="1" spans="1:34" ht="15.75" thickBot="1">
      <c r="AA1" s="844" t="s">
        <v>243</v>
      </c>
      <c r="AB1" s="845"/>
    </row>
    <row r="2" spans="1:34" ht="45" customHeight="1" thickBot="1">
      <c r="A2" s="846" t="s">
        <v>95</v>
      </c>
      <c r="B2" s="846"/>
      <c r="C2" s="846"/>
      <c r="D2" s="846"/>
      <c r="E2" s="846"/>
      <c r="F2" s="846"/>
      <c r="G2" s="846"/>
      <c r="H2" s="846"/>
      <c r="I2" s="846"/>
      <c r="J2" s="846"/>
      <c r="K2" s="846"/>
      <c r="L2" s="846"/>
      <c r="M2" s="846"/>
      <c r="N2" s="846"/>
      <c r="O2" s="846"/>
      <c r="P2" s="846"/>
      <c r="Q2" s="846"/>
      <c r="R2" s="846"/>
      <c r="S2" s="846"/>
      <c r="T2" s="846"/>
      <c r="U2" s="846"/>
      <c r="V2" s="846"/>
      <c r="W2" s="846"/>
      <c r="X2" s="846"/>
      <c r="Y2" s="846"/>
      <c r="Z2" s="846"/>
      <c r="AA2" s="847"/>
      <c r="AB2" s="847"/>
    </row>
    <row r="3" spans="1:34" s="313" customFormat="1" ht="31.5" customHeight="1">
      <c r="A3" s="848" t="s">
        <v>96</v>
      </c>
      <c r="B3" s="850" t="s">
        <v>97</v>
      </c>
      <c r="C3" s="852" t="s">
        <v>98</v>
      </c>
      <c r="D3" s="853"/>
      <c r="E3" s="842" t="s">
        <v>99</v>
      </c>
      <c r="F3" s="843"/>
      <c r="G3" s="840" t="s">
        <v>100</v>
      </c>
      <c r="H3" s="841"/>
      <c r="I3" s="842" t="s">
        <v>101</v>
      </c>
      <c r="J3" s="843"/>
      <c r="K3" s="840" t="s">
        <v>102</v>
      </c>
      <c r="L3" s="841"/>
      <c r="M3" s="842" t="s">
        <v>103</v>
      </c>
      <c r="N3" s="843"/>
      <c r="O3" s="840" t="s">
        <v>104</v>
      </c>
      <c r="P3" s="841"/>
      <c r="Q3" s="842" t="s">
        <v>105</v>
      </c>
      <c r="R3" s="843"/>
      <c r="S3" s="840" t="s">
        <v>106</v>
      </c>
      <c r="T3" s="841"/>
      <c r="U3" s="842" t="s">
        <v>107</v>
      </c>
      <c r="V3" s="843"/>
      <c r="W3" s="840" t="s">
        <v>108</v>
      </c>
      <c r="X3" s="841"/>
      <c r="Y3" s="842" t="s">
        <v>109</v>
      </c>
      <c r="Z3" s="843"/>
      <c r="AA3" s="840" t="s">
        <v>23</v>
      </c>
      <c r="AB3" s="841"/>
    </row>
    <row r="4" spans="1:34" s="313" customFormat="1" ht="69" customHeight="1" thickBot="1">
      <c r="A4" s="849"/>
      <c r="B4" s="851"/>
      <c r="C4" s="314" t="s">
        <v>110</v>
      </c>
      <c r="D4" s="315" t="s">
        <v>111</v>
      </c>
      <c r="E4" s="316" t="s">
        <v>110</v>
      </c>
      <c r="F4" s="317" t="s">
        <v>111</v>
      </c>
      <c r="G4" s="314" t="s">
        <v>110</v>
      </c>
      <c r="H4" s="315" t="s">
        <v>111</v>
      </c>
      <c r="I4" s="316" t="s">
        <v>110</v>
      </c>
      <c r="J4" s="317" t="s">
        <v>111</v>
      </c>
      <c r="K4" s="314" t="s">
        <v>110</v>
      </c>
      <c r="L4" s="315" t="s">
        <v>111</v>
      </c>
      <c r="M4" s="316" t="s">
        <v>110</v>
      </c>
      <c r="N4" s="317" t="s">
        <v>111</v>
      </c>
      <c r="O4" s="314" t="s">
        <v>110</v>
      </c>
      <c r="P4" s="315" t="s">
        <v>111</v>
      </c>
      <c r="Q4" s="316" t="s">
        <v>110</v>
      </c>
      <c r="R4" s="317" t="s">
        <v>111</v>
      </c>
      <c r="S4" s="314" t="s">
        <v>110</v>
      </c>
      <c r="T4" s="315" t="s">
        <v>111</v>
      </c>
      <c r="U4" s="316" t="s">
        <v>110</v>
      </c>
      <c r="V4" s="317" t="s">
        <v>111</v>
      </c>
      <c r="W4" s="314" t="s">
        <v>110</v>
      </c>
      <c r="X4" s="315" t="s">
        <v>111</v>
      </c>
      <c r="Y4" s="316" t="s">
        <v>110</v>
      </c>
      <c r="Z4" s="317" t="s">
        <v>111</v>
      </c>
      <c r="AA4" s="314" t="s">
        <v>112</v>
      </c>
      <c r="AB4" s="315" t="s">
        <v>113</v>
      </c>
    </row>
    <row r="5" spans="1:34" ht="30" customHeight="1">
      <c r="A5" s="318">
        <v>11</v>
      </c>
      <c r="B5" s="319" t="s">
        <v>114</v>
      </c>
      <c r="C5" s="320">
        <v>29</v>
      </c>
      <c r="D5" s="321">
        <v>31</v>
      </c>
      <c r="E5" s="322">
        <v>3</v>
      </c>
      <c r="F5" s="323">
        <v>9</v>
      </c>
      <c r="G5" s="320">
        <v>1</v>
      </c>
      <c r="H5" s="321">
        <v>2</v>
      </c>
      <c r="I5" s="322">
        <v>1</v>
      </c>
      <c r="J5" s="323">
        <v>2</v>
      </c>
      <c r="K5" s="320"/>
      <c r="L5" s="321"/>
      <c r="M5" s="322">
        <v>4</v>
      </c>
      <c r="N5" s="323">
        <v>15</v>
      </c>
      <c r="O5" s="320">
        <v>10</v>
      </c>
      <c r="P5" s="321">
        <v>47</v>
      </c>
      <c r="Q5" s="322">
        <v>5</v>
      </c>
      <c r="R5" s="323">
        <v>16</v>
      </c>
      <c r="S5" s="320">
        <v>1</v>
      </c>
      <c r="T5" s="321">
        <v>3</v>
      </c>
      <c r="U5" s="322">
        <v>1</v>
      </c>
      <c r="V5" s="323">
        <v>3</v>
      </c>
      <c r="W5" s="320">
        <v>1</v>
      </c>
      <c r="X5" s="321">
        <v>3</v>
      </c>
      <c r="Y5" s="322">
        <v>3</v>
      </c>
      <c r="Z5" s="323">
        <v>35</v>
      </c>
      <c r="AA5" s="324">
        <f>C5+E5+G5+I5+K5+M5+O5+Q5+S5+U5+W5+Y5</f>
        <v>59</v>
      </c>
      <c r="AB5" s="321">
        <f>D5+F5+H5+J5+L5+N5+P5+R5+T5+V5+X5+Z5</f>
        <v>166</v>
      </c>
    </row>
    <row r="6" spans="1:34" ht="39.950000000000003" customHeight="1">
      <c r="A6" s="325">
        <v>12</v>
      </c>
      <c r="B6" s="326" t="s">
        <v>115</v>
      </c>
      <c r="C6" s="327"/>
      <c r="D6" s="328"/>
      <c r="E6" s="329">
        <v>7</v>
      </c>
      <c r="F6" s="330"/>
      <c r="G6" s="331">
        <v>34</v>
      </c>
      <c r="H6" s="332"/>
      <c r="I6" s="329">
        <v>40</v>
      </c>
      <c r="J6" s="330">
        <v>2</v>
      </c>
      <c r="K6" s="327">
        <v>6</v>
      </c>
      <c r="L6" s="328"/>
      <c r="M6" s="329"/>
      <c r="N6" s="330"/>
      <c r="O6" s="327"/>
      <c r="P6" s="328"/>
      <c r="Q6" s="329"/>
      <c r="R6" s="330"/>
      <c r="S6" s="327">
        <v>21</v>
      </c>
      <c r="T6" s="328"/>
      <c r="U6" s="329">
        <v>27</v>
      </c>
      <c r="V6" s="330"/>
      <c r="W6" s="327">
        <v>14</v>
      </c>
      <c r="X6" s="328">
        <v>1</v>
      </c>
      <c r="Y6" s="329">
        <v>8</v>
      </c>
      <c r="Z6" s="330"/>
      <c r="AA6" s="324">
        <f t="shared" ref="AA6:AB26" si="0">C6+E6+G6+I6+K6+M6+O6+Q6+S6+U6+W6+Y6</f>
        <v>157</v>
      </c>
      <c r="AB6" s="321">
        <f t="shared" si="0"/>
        <v>3</v>
      </c>
    </row>
    <row r="7" spans="1:34" ht="34.5" customHeight="1">
      <c r="A7" s="325">
        <v>16</v>
      </c>
      <c r="B7" s="333" t="s">
        <v>116</v>
      </c>
      <c r="C7" s="327"/>
      <c r="D7" s="328"/>
      <c r="E7" s="329"/>
      <c r="F7" s="330"/>
      <c r="G7" s="327">
        <v>5</v>
      </c>
      <c r="H7" s="328"/>
      <c r="I7" s="329">
        <v>23</v>
      </c>
      <c r="J7" s="330"/>
      <c r="K7" s="327">
        <v>16</v>
      </c>
      <c r="L7" s="328"/>
      <c r="M7" s="329">
        <v>1</v>
      </c>
      <c r="N7" s="330"/>
      <c r="O7" s="327"/>
      <c r="P7" s="328"/>
      <c r="Q7" s="329"/>
      <c r="R7" s="330"/>
      <c r="S7" s="327">
        <v>7</v>
      </c>
      <c r="T7" s="328"/>
      <c r="U7" s="329">
        <v>21</v>
      </c>
      <c r="V7" s="330"/>
      <c r="W7" s="327">
        <v>2</v>
      </c>
      <c r="X7" s="328"/>
      <c r="Y7" s="329"/>
      <c r="Z7" s="330"/>
      <c r="AA7" s="324">
        <f t="shared" si="0"/>
        <v>75</v>
      </c>
      <c r="AB7" s="321">
        <f t="shared" si="0"/>
        <v>0</v>
      </c>
    </row>
    <row r="8" spans="1:34" ht="35.1" customHeight="1">
      <c r="A8" s="325">
        <v>20</v>
      </c>
      <c r="B8" s="326" t="s">
        <v>117</v>
      </c>
      <c r="C8" s="327"/>
      <c r="D8" s="328"/>
      <c r="E8" s="329"/>
      <c r="F8" s="330"/>
      <c r="G8" s="327">
        <v>2</v>
      </c>
      <c r="H8" s="328"/>
      <c r="I8" s="329">
        <v>12</v>
      </c>
      <c r="J8" s="330"/>
      <c r="K8" s="327">
        <v>14</v>
      </c>
      <c r="L8" s="328"/>
      <c r="M8" s="329"/>
      <c r="N8" s="330"/>
      <c r="O8" s="327"/>
      <c r="P8" s="328"/>
      <c r="Q8" s="329"/>
      <c r="R8" s="330"/>
      <c r="S8" s="327"/>
      <c r="T8" s="328"/>
      <c r="U8" s="329">
        <v>27</v>
      </c>
      <c r="V8" s="330"/>
      <c r="W8" s="327">
        <v>32</v>
      </c>
      <c r="X8" s="328">
        <v>1</v>
      </c>
      <c r="Y8" s="329"/>
      <c r="Z8" s="330"/>
      <c r="AA8" s="324">
        <f t="shared" si="0"/>
        <v>87</v>
      </c>
      <c r="AB8" s="321">
        <f t="shared" si="0"/>
        <v>1</v>
      </c>
    </row>
    <row r="9" spans="1:34" ht="35.1" customHeight="1">
      <c r="A9" s="325">
        <v>149</v>
      </c>
      <c r="B9" s="326" t="s">
        <v>118</v>
      </c>
      <c r="C9" s="327"/>
      <c r="D9" s="328"/>
      <c r="E9" s="329"/>
      <c r="F9" s="330"/>
      <c r="G9" s="327"/>
      <c r="H9" s="328"/>
      <c r="I9" s="329"/>
      <c r="J9" s="330"/>
      <c r="K9" s="327"/>
      <c r="L9" s="328"/>
      <c r="M9" s="329"/>
      <c r="N9" s="330"/>
      <c r="O9" s="327"/>
      <c r="P9" s="328"/>
      <c r="Q9" s="329"/>
      <c r="R9" s="330"/>
      <c r="S9" s="327"/>
      <c r="T9" s="328"/>
      <c r="U9" s="329"/>
      <c r="V9" s="330"/>
      <c r="W9" s="327"/>
      <c r="X9" s="328"/>
      <c r="Y9" s="329"/>
      <c r="Z9" s="330"/>
      <c r="AA9" s="324">
        <f t="shared" si="0"/>
        <v>0</v>
      </c>
      <c r="AB9" s="321">
        <f t="shared" si="0"/>
        <v>0</v>
      </c>
    </row>
    <row r="10" spans="1:34" ht="35.1" customHeight="1">
      <c r="A10" s="325">
        <v>26</v>
      </c>
      <c r="B10" s="326" t="s">
        <v>119</v>
      </c>
      <c r="C10" s="327"/>
      <c r="D10" s="328"/>
      <c r="E10" s="329"/>
      <c r="F10" s="330"/>
      <c r="G10" s="327">
        <v>9</v>
      </c>
      <c r="H10" s="328"/>
      <c r="I10" s="329"/>
      <c r="J10" s="330"/>
      <c r="K10" s="327"/>
      <c r="L10" s="328"/>
      <c r="M10" s="329"/>
      <c r="N10" s="330"/>
      <c r="O10" s="327"/>
      <c r="P10" s="328"/>
      <c r="Q10" s="329"/>
      <c r="R10" s="330"/>
      <c r="S10" s="327"/>
      <c r="T10" s="328"/>
      <c r="U10" s="329">
        <v>19</v>
      </c>
      <c r="V10" s="330"/>
      <c r="W10" s="327">
        <v>7</v>
      </c>
      <c r="X10" s="328"/>
      <c r="Y10" s="329"/>
      <c r="Z10" s="330"/>
      <c r="AA10" s="324">
        <f t="shared" si="0"/>
        <v>35</v>
      </c>
      <c r="AB10" s="321">
        <f t="shared" si="0"/>
        <v>0</v>
      </c>
    </row>
    <row r="11" spans="1:34" ht="35.1" customHeight="1">
      <c r="A11" s="325">
        <v>28</v>
      </c>
      <c r="B11" s="326" t="s">
        <v>120</v>
      </c>
      <c r="C11" s="327"/>
      <c r="D11" s="328"/>
      <c r="E11" s="329">
        <v>2</v>
      </c>
      <c r="F11" s="330">
        <v>1</v>
      </c>
      <c r="G11" s="327"/>
      <c r="H11" s="328"/>
      <c r="I11" s="329"/>
      <c r="J11" s="330"/>
      <c r="K11" s="327">
        <v>38</v>
      </c>
      <c r="L11" s="328"/>
      <c r="M11" s="329"/>
      <c r="N11" s="330"/>
      <c r="O11" s="327"/>
      <c r="P11" s="328"/>
      <c r="Q11" s="329"/>
      <c r="R11" s="330"/>
      <c r="S11" s="327">
        <v>8</v>
      </c>
      <c r="T11" s="328"/>
      <c r="U11" s="329">
        <v>22</v>
      </c>
      <c r="V11" s="330">
        <v>2</v>
      </c>
      <c r="W11" s="327">
        <v>3</v>
      </c>
      <c r="X11" s="328"/>
      <c r="Y11" s="329">
        <v>21</v>
      </c>
      <c r="Z11" s="330"/>
      <c r="AA11" s="324">
        <f t="shared" si="0"/>
        <v>94</v>
      </c>
      <c r="AB11" s="321">
        <f t="shared" si="0"/>
        <v>3</v>
      </c>
    </row>
    <row r="12" spans="1:34" ht="30" customHeight="1">
      <c r="A12" s="325">
        <v>30</v>
      </c>
      <c r="B12" s="333" t="s">
        <v>121</v>
      </c>
      <c r="C12" s="327"/>
      <c r="D12" s="328"/>
      <c r="E12" s="329"/>
      <c r="F12" s="330"/>
      <c r="G12" s="327">
        <v>7</v>
      </c>
      <c r="H12" s="328"/>
      <c r="I12" s="329">
        <v>11</v>
      </c>
      <c r="J12" s="330"/>
      <c r="K12" s="327">
        <v>2</v>
      </c>
      <c r="L12" s="328"/>
      <c r="M12" s="329"/>
      <c r="N12" s="330"/>
      <c r="O12" s="327"/>
      <c r="P12" s="328"/>
      <c r="Q12" s="329"/>
      <c r="R12" s="330"/>
      <c r="S12" s="327"/>
      <c r="T12" s="328"/>
      <c r="U12" s="329">
        <v>9</v>
      </c>
      <c r="V12" s="330"/>
      <c r="W12" s="327"/>
      <c r="X12" s="328"/>
      <c r="Y12" s="329"/>
      <c r="Z12" s="330"/>
      <c r="AA12" s="324">
        <f t="shared" si="0"/>
        <v>29</v>
      </c>
      <c r="AB12" s="321">
        <f t="shared" si="0"/>
        <v>0</v>
      </c>
      <c r="AH12" s="334"/>
    </row>
    <row r="13" spans="1:34" ht="30" customHeight="1">
      <c r="A13" s="325">
        <v>40</v>
      </c>
      <c r="B13" s="326" t="s">
        <v>122</v>
      </c>
      <c r="C13" s="327"/>
      <c r="D13" s="328"/>
      <c r="E13" s="329"/>
      <c r="F13" s="330"/>
      <c r="G13" s="331"/>
      <c r="H13" s="332"/>
      <c r="I13" s="329">
        <v>1</v>
      </c>
      <c r="J13" s="330"/>
      <c r="K13" s="327"/>
      <c r="L13" s="328"/>
      <c r="M13" s="329"/>
      <c r="N13" s="330"/>
      <c r="O13" s="327"/>
      <c r="P13" s="328"/>
      <c r="Q13" s="329">
        <v>1</v>
      </c>
      <c r="R13" s="330"/>
      <c r="S13" s="327"/>
      <c r="T13" s="328"/>
      <c r="U13" s="329"/>
      <c r="V13" s="330"/>
      <c r="W13" s="327"/>
      <c r="X13" s="328"/>
      <c r="Y13" s="329"/>
      <c r="Z13" s="330"/>
      <c r="AA13" s="324">
        <f t="shared" si="0"/>
        <v>2</v>
      </c>
      <c r="AB13" s="321">
        <f t="shared" si="0"/>
        <v>0</v>
      </c>
    </row>
    <row r="14" spans="1:34" ht="30" customHeight="1">
      <c r="A14" s="325">
        <v>41</v>
      </c>
      <c r="B14" s="326" t="s">
        <v>123</v>
      </c>
      <c r="C14" s="327"/>
      <c r="D14" s="328"/>
      <c r="E14" s="329">
        <v>5</v>
      </c>
      <c r="F14" s="330"/>
      <c r="G14" s="331">
        <v>2</v>
      </c>
      <c r="H14" s="332"/>
      <c r="I14" s="329"/>
      <c r="J14" s="330"/>
      <c r="K14" s="327"/>
      <c r="L14" s="328"/>
      <c r="M14" s="329">
        <v>1</v>
      </c>
      <c r="N14" s="330"/>
      <c r="O14" s="327"/>
      <c r="P14" s="328"/>
      <c r="Q14" s="329">
        <v>1</v>
      </c>
      <c r="R14" s="330"/>
      <c r="S14" s="327"/>
      <c r="T14" s="328"/>
      <c r="U14" s="329"/>
      <c r="V14" s="330"/>
      <c r="W14" s="327"/>
      <c r="X14" s="328"/>
      <c r="Y14" s="329"/>
      <c r="Z14" s="330"/>
      <c r="AA14" s="324">
        <f t="shared" si="0"/>
        <v>9</v>
      </c>
      <c r="AB14" s="321">
        <f t="shared" si="0"/>
        <v>0</v>
      </c>
    </row>
    <row r="15" spans="1:34" ht="39.950000000000003" customHeight="1">
      <c r="A15" s="335">
        <v>44</v>
      </c>
      <c r="B15" s="326" t="s">
        <v>124</v>
      </c>
      <c r="C15" s="327">
        <v>5</v>
      </c>
      <c r="D15" s="328"/>
      <c r="E15" s="329">
        <v>17</v>
      </c>
      <c r="F15" s="330"/>
      <c r="G15" s="331">
        <v>55</v>
      </c>
      <c r="H15" s="332"/>
      <c r="I15" s="329">
        <v>24</v>
      </c>
      <c r="J15" s="330"/>
      <c r="K15" s="327">
        <v>29</v>
      </c>
      <c r="L15" s="328"/>
      <c r="M15" s="329">
        <v>7</v>
      </c>
      <c r="N15" s="330"/>
      <c r="O15" s="327">
        <v>12</v>
      </c>
      <c r="P15" s="328">
        <v>1</v>
      </c>
      <c r="Q15" s="329"/>
      <c r="R15" s="330"/>
      <c r="S15" s="327">
        <v>66</v>
      </c>
      <c r="T15" s="328"/>
      <c r="U15" s="329">
        <v>20</v>
      </c>
      <c r="V15" s="330"/>
      <c r="W15" s="327">
        <v>58</v>
      </c>
      <c r="X15" s="328">
        <v>1</v>
      </c>
      <c r="Y15" s="329"/>
      <c r="Z15" s="330"/>
      <c r="AA15" s="324">
        <f t="shared" si="0"/>
        <v>293</v>
      </c>
      <c r="AB15" s="321">
        <f t="shared" si="0"/>
        <v>2</v>
      </c>
    </row>
    <row r="16" spans="1:34" ht="39.950000000000003" customHeight="1">
      <c r="A16" s="325">
        <v>55</v>
      </c>
      <c r="B16" s="326" t="s">
        <v>125</v>
      </c>
      <c r="C16" s="327"/>
      <c r="D16" s="328"/>
      <c r="E16" s="329"/>
      <c r="F16" s="330"/>
      <c r="G16" s="327">
        <v>23</v>
      </c>
      <c r="H16" s="328"/>
      <c r="I16" s="329"/>
      <c r="J16" s="330"/>
      <c r="K16" s="327">
        <v>16</v>
      </c>
      <c r="L16" s="328"/>
      <c r="M16" s="329">
        <v>5</v>
      </c>
      <c r="N16" s="330"/>
      <c r="O16" s="327"/>
      <c r="P16" s="328"/>
      <c r="Q16" s="329"/>
      <c r="R16" s="330"/>
      <c r="S16" s="327"/>
      <c r="T16" s="328"/>
      <c r="U16" s="329"/>
      <c r="V16" s="330"/>
      <c r="W16" s="327"/>
      <c r="X16" s="328"/>
      <c r="Y16" s="329"/>
      <c r="Z16" s="330"/>
      <c r="AA16" s="324">
        <f t="shared" si="0"/>
        <v>44</v>
      </c>
      <c r="AB16" s="321">
        <f t="shared" si="0"/>
        <v>0</v>
      </c>
    </row>
    <row r="17" spans="1:28" ht="39.950000000000003" customHeight="1">
      <c r="A17" s="325">
        <v>56</v>
      </c>
      <c r="B17" s="326" t="s">
        <v>126</v>
      </c>
      <c r="C17" s="327"/>
      <c r="D17" s="328"/>
      <c r="E17" s="329"/>
      <c r="F17" s="330"/>
      <c r="G17" s="327"/>
      <c r="H17" s="328"/>
      <c r="I17" s="329">
        <v>9</v>
      </c>
      <c r="J17" s="330"/>
      <c r="K17" s="327">
        <v>2</v>
      </c>
      <c r="L17" s="328"/>
      <c r="M17" s="329"/>
      <c r="N17" s="330"/>
      <c r="O17" s="327"/>
      <c r="P17" s="328"/>
      <c r="Q17" s="329"/>
      <c r="R17" s="330"/>
      <c r="S17" s="327"/>
      <c r="T17" s="328"/>
      <c r="U17" s="329"/>
      <c r="V17" s="330"/>
      <c r="W17" s="327"/>
      <c r="X17" s="328"/>
      <c r="Y17" s="329">
        <v>15</v>
      </c>
      <c r="Z17" s="330"/>
      <c r="AA17" s="324">
        <f t="shared" si="0"/>
        <v>26</v>
      </c>
      <c r="AB17" s="321">
        <f t="shared" si="0"/>
        <v>0</v>
      </c>
    </row>
    <row r="18" spans="1:28" ht="39.950000000000003" customHeight="1">
      <c r="A18" s="335">
        <v>57</v>
      </c>
      <c r="B18" s="326" t="s">
        <v>127</v>
      </c>
      <c r="C18" s="327"/>
      <c r="D18" s="328"/>
      <c r="E18" s="329"/>
      <c r="F18" s="330"/>
      <c r="G18" s="327"/>
      <c r="H18" s="328"/>
      <c r="I18" s="329"/>
      <c r="J18" s="330"/>
      <c r="K18" s="327"/>
      <c r="L18" s="328"/>
      <c r="M18" s="329"/>
      <c r="N18" s="330"/>
      <c r="O18" s="327"/>
      <c r="P18" s="328"/>
      <c r="Q18" s="329"/>
      <c r="R18" s="330"/>
      <c r="S18" s="327"/>
      <c r="T18" s="328"/>
      <c r="U18" s="329"/>
      <c r="V18" s="330"/>
      <c r="W18" s="327"/>
      <c r="X18" s="328"/>
      <c r="Y18" s="329"/>
      <c r="Z18" s="330"/>
      <c r="AA18" s="324">
        <f t="shared" si="0"/>
        <v>0</v>
      </c>
      <c r="AB18" s="321">
        <f t="shared" si="0"/>
        <v>0</v>
      </c>
    </row>
    <row r="19" spans="1:28" ht="39.950000000000003" customHeight="1">
      <c r="A19" s="325">
        <v>61</v>
      </c>
      <c r="B19" s="326" t="s">
        <v>128</v>
      </c>
      <c r="C19" s="327"/>
      <c r="D19" s="328"/>
      <c r="E19" s="329"/>
      <c r="F19" s="330"/>
      <c r="G19" s="327"/>
      <c r="H19" s="328"/>
      <c r="I19" s="329"/>
      <c r="J19" s="330"/>
      <c r="K19" s="327"/>
      <c r="L19" s="328"/>
      <c r="M19" s="329"/>
      <c r="N19" s="330"/>
      <c r="O19" s="327"/>
      <c r="P19" s="328"/>
      <c r="Q19" s="329"/>
      <c r="R19" s="330"/>
      <c r="S19" s="327">
        <v>13</v>
      </c>
      <c r="T19" s="328"/>
      <c r="U19" s="329">
        <v>14</v>
      </c>
      <c r="V19" s="330"/>
      <c r="W19" s="327"/>
      <c r="X19" s="328"/>
      <c r="Y19" s="329"/>
      <c r="Z19" s="330"/>
      <c r="AA19" s="324">
        <f t="shared" si="0"/>
        <v>27</v>
      </c>
      <c r="AB19" s="321">
        <f t="shared" si="0"/>
        <v>0</v>
      </c>
    </row>
    <row r="20" spans="1:28" ht="39.950000000000003" customHeight="1">
      <c r="A20" s="325">
        <v>74</v>
      </c>
      <c r="B20" s="326" t="s">
        <v>129</v>
      </c>
      <c r="C20" s="327"/>
      <c r="D20" s="328"/>
      <c r="E20" s="329"/>
      <c r="F20" s="330"/>
      <c r="G20" s="331"/>
      <c r="H20" s="332"/>
      <c r="I20" s="329"/>
      <c r="J20" s="330"/>
      <c r="K20" s="327"/>
      <c r="L20" s="328"/>
      <c r="M20" s="329"/>
      <c r="N20" s="330"/>
      <c r="O20" s="327"/>
      <c r="P20" s="328"/>
      <c r="Q20" s="329"/>
      <c r="R20" s="330"/>
      <c r="S20" s="327"/>
      <c r="T20" s="328"/>
      <c r="U20" s="329"/>
      <c r="V20" s="330"/>
      <c r="W20" s="327"/>
      <c r="X20" s="328"/>
      <c r="Y20" s="329"/>
      <c r="Z20" s="330"/>
      <c r="AA20" s="324">
        <f t="shared" si="0"/>
        <v>0</v>
      </c>
      <c r="AB20" s="321">
        <f t="shared" si="0"/>
        <v>0</v>
      </c>
    </row>
    <row r="21" spans="1:28" ht="30" customHeight="1">
      <c r="A21" s="325">
        <v>76</v>
      </c>
      <c r="B21" s="326" t="s">
        <v>130</v>
      </c>
      <c r="C21" s="327"/>
      <c r="D21" s="328"/>
      <c r="E21" s="329"/>
      <c r="F21" s="330"/>
      <c r="G21" s="327"/>
      <c r="H21" s="328"/>
      <c r="I21" s="329"/>
      <c r="J21" s="330"/>
      <c r="K21" s="327"/>
      <c r="L21" s="328"/>
      <c r="M21" s="329"/>
      <c r="N21" s="330"/>
      <c r="O21" s="327"/>
      <c r="P21" s="328"/>
      <c r="Q21" s="329"/>
      <c r="R21" s="330"/>
      <c r="S21" s="327"/>
      <c r="T21" s="328"/>
      <c r="U21" s="329"/>
      <c r="V21" s="330"/>
      <c r="W21" s="327"/>
      <c r="X21" s="328"/>
      <c r="Y21" s="329"/>
      <c r="Z21" s="330"/>
      <c r="AA21" s="324">
        <f t="shared" si="0"/>
        <v>0</v>
      </c>
      <c r="AB21" s="321">
        <f t="shared" si="0"/>
        <v>0</v>
      </c>
    </row>
    <row r="22" spans="1:28" ht="37.5" customHeight="1">
      <c r="A22" s="325">
        <v>106</v>
      </c>
      <c r="B22" s="326" t="s">
        <v>131</v>
      </c>
      <c r="C22" s="327"/>
      <c r="D22" s="328"/>
      <c r="E22" s="329"/>
      <c r="F22" s="330"/>
      <c r="G22" s="327"/>
      <c r="H22" s="328"/>
      <c r="I22" s="329"/>
      <c r="J22" s="330"/>
      <c r="K22" s="327"/>
      <c r="L22" s="328"/>
      <c r="M22" s="329"/>
      <c r="N22" s="330"/>
      <c r="O22" s="327"/>
      <c r="P22" s="328"/>
      <c r="Q22" s="329"/>
      <c r="R22" s="330"/>
      <c r="S22" s="327"/>
      <c r="T22" s="328"/>
      <c r="U22" s="329"/>
      <c r="V22" s="330"/>
      <c r="W22" s="327"/>
      <c r="X22" s="328"/>
      <c r="Y22" s="329"/>
      <c r="Z22" s="330"/>
      <c r="AA22" s="324">
        <f t="shared" si="0"/>
        <v>0</v>
      </c>
      <c r="AB22" s="321">
        <f t="shared" si="0"/>
        <v>0</v>
      </c>
    </row>
    <row r="23" spans="1:28" ht="36" customHeight="1">
      <c r="A23" s="325">
        <v>118</v>
      </c>
      <c r="B23" s="326" t="s">
        <v>132</v>
      </c>
      <c r="C23" s="327"/>
      <c r="D23" s="328"/>
      <c r="E23" s="329"/>
      <c r="F23" s="330"/>
      <c r="G23" s="327"/>
      <c r="H23" s="328"/>
      <c r="I23" s="329"/>
      <c r="J23" s="330"/>
      <c r="K23" s="327">
        <v>1</v>
      </c>
      <c r="L23" s="328"/>
      <c r="M23" s="329"/>
      <c r="N23" s="330"/>
      <c r="O23" s="327"/>
      <c r="P23" s="328"/>
      <c r="Q23" s="329"/>
      <c r="R23" s="330"/>
      <c r="S23" s="327"/>
      <c r="T23" s="328"/>
      <c r="U23" s="329">
        <v>5</v>
      </c>
      <c r="V23" s="330"/>
      <c r="W23" s="327"/>
      <c r="X23" s="328"/>
      <c r="Y23" s="329"/>
      <c r="Z23" s="330"/>
      <c r="AA23" s="324">
        <f t="shared" si="0"/>
        <v>6</v>
      </c>
      <c r="AB23" s="321">
        <f t="shared" si="0"/>
        <v>0</v>
      </c>
    </row>
    <row r="24" spans="1:28" ht="36.75" customHeight="1">
      <c r="A24" s="325">
        <v>136</v>
      </c>
      <c r="B24" s="326" t="s">
        <v>133</v>
      </c>
      <c r="C24" s="327"/>
      <c r="D24" s="328"/>
      <c r="E24" s="329"/>
      <c r="F24" s="330"/>
      <c r="G24" s="327">
        <v>7</v>
      </c>
      <c r="H24" s="328"/>
      <c r="I24" s="329">
        <v>10</v>
      </c>
      <c r="J24" s="330"/>
      <c r="K24" s="327"/>
      <c r="L24" s="328"/>
      <c r="M24" s="329"/>
      <c r="N24" s="330"/>
      <c r="O24" s="327"/>
      <c r="P24" s="328"/>
      <c r="Q24" s="329">
        <v>1</v>
      </c>
      <c r="R24" s="330"/>
      <c r="S24" s="327"/>
      <c r="T24" s="328"/>
      <c r="U24" s="329"/>
      <c r="V24" s="330"/>
      <c r="W24" s="327"/>
      <c r="X24" s="328"/>
      <c r="Y24" s="329"/>
      <c r="Z24" s="330"/>
      <c r="AA24" s="324">
        <f t="shared" si="0"/>
        <v>18</v>
      </c>
      <c r="AB24" s="321">
        <f t="shared" si="0"/>
        <v>0</v>
      </c>
    </row>
    <row r="25" spans="1:28" ht="30" customHeight="1">
      <c r="A25" s="325">
        <v>147</v>
      </c>
      <c r="B25" s="326" t="s">
        <v>134</v>
      </c>
      <c r="C25" s="327"/>
      <c r="D25" s="328"/>
      <c r="E25" s="329"/>
      <c r="F25" s="330"/>
      <c r="G25" s="327"/>
      <c r="H25" s="328"/>
      <c r="I25" s="329"/>
      <c r="J25" s="330"/>
      <c r="K25" s="327"/>
      <c r="L25" s="328"/>
      <c r="M25" s="329"/>
      <c r="N25" s="330"/>
      <c r="O25" s="327"/>
      <c r="P25" s="328"/>
      <c r="Q25" s="329"/>
      <c r="R25" s="330"/>
      <c r="S25" s="327"/>
      <c r="T25" s="328"/>
      <c r="U25" s="329"/>
      <c r="V25" s="330"/>
      <c r="W25" s="327"/>
      <c r="X25" s="328"/>
      <c r="Y25" s="329"/>
      <c r="Z25" s="330"/>
      <c r="AA25" s="324">
        <f t="shared" si="0"/>
        <v>0</v>
      </c>
      <c r="AB25" s="321">
        <f t="shared" si="0"/>
        <v>0</v>
      </c>
    </row>
    <row r="26" spans="1:28" ht="39.950000000000003" customHeight="1" thickBot="1">
      <c r="A26" s="336">
        <v>153</v>
      </c>
      <c r="B26" s="337" t="s">
        <v>135</v>
      </c>
      <c r="C26" s="338">
        <v>4</v>
      </c>
      <c r="D26" s="339">
        <v>12</v>
      </c>
      <c r="E26" s="340">
        <v>12</v>
      </c>
      <c r="F26" s="341">
        <v>36</v>
      </c>
      <c r="G26" s="338"/>
      <c r="H26" s="339"/>
      <c r="I26" s="340"/>
      <c r="J26" s="341"/>
      <c r="K26" s="338"/>
      <c r="L26" s="339"/>
      <c r="M26" s="340"/>
      <c r="N26" s="341"/>
      <c r="O26" s="338">
        <v>13</v>
      </c>
      <c r="P26" s="339">
        <v>39</v>
      </c>
      <c r="Q26" s="340"/>
      <c r="R26" s="341"/>
      <c r="S26" s="338">
        <v>7</v>
      </c>
      <c r="T26" s="339">
        <v>9</v>
      </c>
      <c r="U26" s="340">
        <v>16</v>
      </c>
      <c r="V26" s="341">
        <v>30</v>
      </c>
      <c r="W26" s="338"/>
      <c r="X26" s="339"/>
      <c r="Y26" s="340"/>
      <c r="Z26" s="341"/>
      <c r="AA26" s="324">
        <f t="shared" si="0"/>
        <v>52</v>
      </c>
      <c r="AB26" s="321">
        <f t="shared" si="0"/>
        <v>126</v>
      </c>
    </row>
    <row r="27" spans="1:28" ht="39.950000000000003" customHeight="1" thickBot="1">
      <c r="A27" s="342"/>
      <c r="B27" s="342" t="s">
        <v>136</v>
      </c>
      <c r="C27" s="343">
        <f>SUM(C5:C26)</f>
        <v>38</v>
      </c>
      <c r="D27" s="344">
        <f t="shared" ref="D27:AB27" si="1">SUM(D5:D26)</f>
        <v>43</v>
      </c>
      <c r="E27" s="345">
        <f t="shared" si="1"/>
        <v>46</v>
      </c>
      <c r="F27" s="346">
        <f t="shared" si="1"/>
        <v>46</v>
      </c>
      <c r="G27" s="343">
        <f t="shared" si="1"/>
        <v>145</v>
      </c>
      <c r="H27" s="344">
        <f t="shared" si="1"/>
        <v>2</v>
      </c>
      <c r="I27" s="345">
        <f t="shared" si="1"/>
        <v>131</v>
      </c>
      <c r="J27" s="346">
        <f t="shared" si="1"/>
        <v>4</v>
      </c>
      <c r="K27" s="343">
        <f t="shared" si="1"/>
        <v>124</v>
      </c>
      <c r="L27" s="344">
        <f t="shared" si="1"/>
        <v>0</v>
      </c>
      <c r="M27" s="345">
        <f t="shared" si="1"/>
        <v>18</v>
      </c>
      <c r="N27" s="346">
        <f t="shared" si="1"/>
        <v>15</v>
      </c>
      <c r="O27" s="343">
        <f t="shared" si="1"/>
        <v>35</v>
      </c>
      <c r="P27" s="344">
        <f t="shared" si="1"/>
        <v>87</v>
      </c>
      <c r="Q27" s="345">
        <f t="shared" si="1"/>
        <v>8</v>
      </c>
      <c r="R27" s="346">
        <f t="shared" si="1"/>
        <v>16</v>
      </c>
      <c r="S27" s="343">
        <f t="shared" si="1"/>
        <v>123</v>
      </c>
      <c r="T27" s="344">
        <f t="shared" si="1"/>
        <v>12</v>
      </c>
      <c r="U27" s="345">
        <f t="shared" si="1"/>
        <v>181</v>
      </c>
      <c r="V27" s="346">
        <f t="shared" si="1"/>
        <v>35</v>
      </c>
      <c r="W27" s="343">
        <f t="shared" si="1"/>
        <v>117</v>
      </c>
      <c r="X27" s="344">
        <f t="shared" si="1"/>
        <v>6</v>
      </c>
      <c r="Y27" s="345">
        <f t="shared" si="1"/>
        <v>47</v>
      </c>
      <c r="Z27" s="346">
        <f t="shared" si="1"/>
        <v>35</v>
      </c>
      <c r="AA27" s="343">
        <f t="shared" si="1"/>
        <v>1013</v>
      </c>
      <c r="AB27" s="344">
        <f t="shared" si="1"/>
        <v>301</v>
      </c>
    </row>
    <row r="28" spans="1:28">
      <c r="A28" s="347"/>
      <c r="B28" s="348"/>
      <c r="C28" s="347"/>
      <c r="D28" s="347"/>
      <c r="E28" s="347"/>
      <c r="F28" s="347"/>
      <c r="G28" s="347"/>
      <c r="H28" s="347"/>
      <c r="I28" s="347"/>
      <c r="J28" s="347"/>
      <c r="K28" s="347"/>
      <c r="L28" s="347"/>
      <c r="M28" s="347"/>
      <c r="N28" s="347"/>
      <c r="O28" s="347"/>
      <c r="P28" s="347"/>
      <c r="Q28" s="347"/>
      <c r="R28" s="347"/>
    </row>
    <row r="29" spans="1:28">
      <c r="A29" s="347"/>
      <c r="B29" s="348"/>
      <c r="C29" s="347"/>
      <c r="D29" s="347"/>
      <c r="E29" s="347"/>
      <c r="F29" s="347"/>
      <c r="G29" s="347"/>
      <c r="H29" s="347"/>
      <c r="I29" s="347"/>
      <c r="J29" s="347"/>
      <c r="K29" s="347"/>
      <c r="L29" s="347"/>
      <c r="M29" s="347"/>
      <c r="N29" s="347"/>
      <c r="O29" s="347"/>
      <c r="P29" s="347"/>
      <c r="Q29" s="347"/>
      <c r="R29" s="347"/>
      <c r="Y29" s="347"/>
      <c r="Z29" s="347"/>
      <c r="AB29" s="347"/>
    </row>
    <row r="31" spans="1:28">
      <c r="S31" s="312"/>
      <c r="T31" s="312"/>
      <c r="U31" s="312"/>
      <c r="V31" s="312"/>
      <c r="W31" s="312"/>
      <c r="X31" s="312"/>
      <c r="Y31" s="312"/>
      <c r="Z31" s="312"/>
      <c r="AA31" s="312"/>
    </row>
    <row r="33" spans="19:27">
      <c r="S33" s="312"/>
      <c r="T33" s="312"/>
      <c r="U33" s="312"/>
      <c r="V33" s="312"/>
      <c r="W33" s="312"/>
      <c r="X33" s="312"/>
      <c r="Y33" s="312"/>
      <c r="Z33" s="312"/>
      <c r="AA33" s="312"/>
    </row>
  </sheetData>
  <mergeCells count="17">
    <mergeCell ref="Q3:R3"/>
    <mergeCell ref="S3:T3"/>
    <mergeCell ref="U3:V3"/>
    <mergeCell ref="W3:X3"/>
    <mergeCell ref="Y3:Z3"/>
    <mergeCell ref="AA1:AB1"/>
    <mergeCell ref="AA3:AB3"/>
    <mergeCell ref="A2:AB2"/>
    <mergeCell ref="A3:A4"/>
    <mergeCell ref="B3:B4"/>
    <mergeCell ref="C3:D3"/>
    <mergeCell ref="E3:F3"/>
    <mergeCell ref="G3:H3"/>
    <mergeCell ref="I3:J3"/>
    <mergeCell ref="K3:L3"/>
    <mergeCell ref="M3:N3"/>
    <mergeCell ref="O3:P3"/>
  </mergeCells>
  <pageMargins left="0.74803149606299213" right="0.74803149606299213" top="0.98425196850393704" bottom="0.98425196850393704" header="0.51181102362204722" footer="0.51181102362204722"/>
  <pageSetup paperSize="9" scale="4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K93"/>
  <sheetViews>
    <sheetView topLeftCell="B1" workbookViewId="0">
      <selection activeCell="J4" sqref="J4"/>
    </sheetView>
  </sheetViews>
  <sheetFormatPr defaultColWidth="9.140625" defaultRowHeight="12"/>
  <cols>
    <col min="1" max="1" width="9.140625" style="555" hidden="1" customWidth="1"/>
    <col min="2" max="2" width="8.85546875" style="555" bestFit="1" customWidth="1"/>
    <col min="3" max="3" width="41.85546875" style="555" customWidth="1"/>
    <col min="4" max="4" width="17.5703125" style="555" customWidth="1"/>
    <col min="5" max="6" width="16" style="555" bestFit="1" customWidth="1"/>
    <col min="7" max="7" width="8.7109375" style="555" bestFit="1" customWidth="1"/>
    <col min="8" max="8" width="1.7109375" style="555" customWidth="1"/>
    <col min="9" max="9" width="14.85546875" style="555" bestFit="1" customWidth="1"/>
    <col min="10" max="10" width="9.140625" style="555"/>
    <col min="11" max="11" width="12.28515625" style="555" bestFit="1" customWidth="1"/>
    <col min="12" max="12" width="10.28515625" style="555" bestFit="1" customWidth="1"/>
    <col min="13" max="16384" width="9.140625" style="555"/>
  </cols>
  <sheetData>
    <row r="1" spans="1:9" ht="13.5" thickBot="1">
      <c r="B1" s="854" t="s">
        <v>282</v>
      </c>
      <c r="C1" s="855"/>
      <c r="D1" s="855"/>
      <c r="E1" s="855"/>
      <c r="F1" s="855"/>
      <c r="G1" s="856"/>
      <c r="I1" s="773" t="s">
        <v>244</v>
      </c>
    </row>
    <row r="2" spans="1:9" ht="44.25" customHeight="1" thickBot="1">
      <c r="B2" s="857" t="s">
        <v>283</v>
      </c>
      <c r="C2" s="858"/>
      <c r="D2" s="858"/>
      <c r="E2" s="858"/>
      <c r="F2" s="858"/>
      <c r="G2" s="859"/>
    </row>
    <row r="3" spans="1:9" ht="63" customHeight="1" thickBot="1">
      <c r="A3" s="555" t="s">
        <v>284</v>
      </c>
      <c r="B3" s="556" t="s">
        <v>285</v>
      </c>
      <c r="C3" s="557" t="s">
        <v>286</v>
      </c>
      <c r="D3" s="558" t="s">
        <v>287</v>
      </c>
      <c r="E3" s="559" t="s">
        <v>288</v>
      </c>
      <c r="F3" s="560" t="s">
        <v>289</v>
      </c>
      <c r="G3" s="561" t="s">
        <v>290</v>
      </c>
    </row>
    <row r="4" spans="1:9" ht="15.75">
      <c r="A4" s="555" t="e">
        <f>LEN(#REF!)</f>
        <v>#REF!</v>
      </c>
      <c r="B4" s="562" t="s">
        <v>291</v>
      </c>
      <c r="C4" s="563" t="s">
        <v>292</v>
      </c>
      <c r="D4" s="564">
        <f t="shared" ref="D4" si="0">D5+D15+D48+D56</f>
        <v>77950000</v>
      </c>
      <c r="E4" s="565">
        <f>E5+E15+E48+E56</f>
        <v>75070711.530000001</v>
      </c>
      <c r="F4" s="566">
        <f>F5+F15+F48+F56</f>
        <v>-2879288.4699999979</v>
      </c>
      <c r="G4" s="567">
        <f>E4/D4*100</f>
        <v>96.306236728672218</v>
      </c>
    </row>
    <row r="5" spans="1:9" ht="15.75">
      <c r="A5" s="555" t="e">
        <f>LEN(#REF!)</f>
        <v>#REF!</v>
      </c>
      <c r="B5" s="568" t="s">
        <v>293</v>
      </c>
      <c r="C5" s="569" t="s">
        <v>294</v>
      </c>
      <c r="D5" s="570">
        <f t="shared" ref="D5" si="1">D6+D10+D12</f>
        <v>44331000</v>
      </c>
      <c r="E5" s="571">
        <f>E6+E10+E12</f>
        <v>43626589.710000001</v>
      </c>
      <c r="F5" s="572">
        <f>F6+F10+F12</f>
        <v>-704410.28999999794</v>
      </c>
      <c r="G5" s="567">
        <f t="shared" ref="G5:G68" si="2">E5/D5*100</f>
        <v>98.411020978547754</v>
      </c>
    </row>
    <row r="6" spans="1:9" ht="12.75">
      <c r="A6" s="555" t="e">
        <f>LEN(#REF!)</f>
        <v>#REF!</v>
      </c>
      <c r="B6" s="573" t="s">
        <v>295</v>
      </c>
      <c r="C6" s="574" t="s">
        <v>296</v>
      </c>
      <c r="D6" s="575">
        <f t="shared" ref="D6" si="3">SUM(D7:D9)</f>
        <v>36012000</v>
      </c>
      <c r="E6" s="576">
        <f>SUM(E7:E9)</f>
        <v>35584078.880000003</v>
      </c>
      <c r="F6" s="577">
        <f>SUM(F7:F9)</f>
        <v>-427921.11999999825</v>
      </c>
      <c r="G6" s="567">
        <f t="shared" si="2"/>
        <v>98.811726313451075</v>
      </c>
    </row>
    <row r="7" spans="1:9">
      <c r="A7" s="555" t="e">
        <f>LEN(#REF!)</f>
        <v>#REF!</v>
      </c>
      <c r="B7" s="578" t="s">
        <v>297</v>
      </c>
      <c r="C7" s="579" t="s">
        <v>298</v>
      </c>
      <c r="D7" s="580">
        <v>30600000</v>
      </c>
      <c r="E7" s="581">
        <v>30497716.420000002</v>
      </c>
      <c r="F7" s="582">
        <f>E7-D7</f>
        <v>-102283.57999999821</v>
      </c>
      <c r="G7" s="567">
        <f t="shared" si="2"/>
        <v>99.665739934640527</v>
      </c>
    </row>
    <row r="8" spans="1:9">
      <c r="A8" s="555" t="e">
        <f>LEN(#REF!)</f>
        <v>#REF!</v>
      </c>
      <c r="B8" s="578" t="s">
        <v>299</v>
      </c>
      <c r="C8" s="579" t="s">
        <v>300</v>
      </c>
      <c r="D8" s="580">
        <v>1762000</v>
      </c>
      <c r="E8" s="581">
        <v>1520124.75</v>
      </c>
      <c r="F8" s="582">
        <f t="shared" ref="F8:F9" si="4">E8-D8</f>
        <v>-241875.25</v>
      </c>
      <c r="G8" s="567">
        <f t="shared" si="2"/>
        <v>86.272687287173667</v>
      </c>
    </row>
    <row r="9" spans="1:9">
      <c r="A9" s="555" t="e">
        <f>LEN(#REF!)</f>
        <v>#REF!</v>
      </c>
      <c r="B9" s="578" t="s">
        <v>301</v>
      </c>
      <c r="C9" s="579" t="s">
        <v>302</v>
      </c>
      <c r="D9" s="583">
        <v>3650000</v>
      </c>
      <c r="E9" s="581">
        <v>3566237.71</v>
      </c>
      <c r="F9" s="582">
        <f t="shared" si="4"/>
        <v>-83762.290000000037</v>
      </c>
      <c r="G9" s="567">
        <f t="shared" si="2"/>
        <v>97.705142739726028</v>
      </c>
    </row>
    <row r="10" spans="1:9" ht="12.75">
      <c r="A10" s="555" t="e">
        <f>LEN(#REF!)</f>
        <v>#REF!</v>
      </c>
      <c r="B10" s="584">
        <v>312</v>
      </c>
      <c r="C10" s="574" t="s">
        <v>303</v>
      </c>
      <c r="D10" s="575">
        <f t="shared" ref="D10" si="5">SUM(D11)</f>
        <v>2300000</v>
      </c>
      <c r="E10" s="576">
        <f>SUM(E11)</f>
        <v>2247443.86</v>
      </c>
      <c r="F10" s="585">
        <f>SUM(F11)</f>
        <v>-52556.14000000013</v>
      </c>
      <c r="G10" s="567">
        <f t="shared" si="2"/>
        <v>97.714950434782594</v>
      </c>
    </row>
    <row r="11" spans="1:9">
      <c r="A11" s="555" t="e">
        <f>LEN(#REF!)</f>
        <v>#REF!</v>
      </c>
      <c r="B11" s="578" t="s">
        <v>304</v>
      </c>
      <c r="C11" s="579" t="s">
        <v>303</v>
      </c>
      <c r="D11" s="583">
        <v>2300000</v>
      </c>
      <c r="E11" s="581">
        <v>2247443.86</v>
      </c>
      <c r="F11" s="582">
        <f>E11-D11</f>
        <v>-52556.14000000013</v>
      </c>
      <c r="G11" s="567">
        <f t="shared" si="2"/>
        <v>97.714950434782594</v>
      </c>
    </row>
    <row r="12" spans="1:9" ht="12.75">
      <c r="A12" s="555" t="e">
        <f>LEN(#REF!)</f>
        <v>#REF!</v>
      </c>
      <c r="B12" s="586">
        <v>313</v>
      </c>
      <c r="C12" s="587" t="s">
        <v>250</v>
      </c>
      <c r="D12" s="575">
        <f t="shared" ref="D12" si="6">SUM(D13:D14)</f>
        <v>6019000</v>
      </c>
      <c r="E12" s="576">
        <f>SUM(E13:E14)</f>
        <v>5795066.9700000007</v>
      </c>
      <c r="F12" s="585">
        <f>SUM(F13:F14)</f>
        <v>-223933.02999999962</v>
      </c>
      <c r="G12" s="567">
        <f t="shared" si="2"/>
        <v>96.279564213324491</v>
      </c>
    </row>
    <row r="13" spans="1:9">
      <c r="B13" s="588" t="s">
        <v>305</v>
      </c>
      <c r="C13" s="589" t="s">
        <v>306</v>
      </c>
      <c r="D13" s="580">
        <v>6000000</v>
      </c>
      <c r="E13" s="581">
        <v>5794782.1500000004</v>
      </c>
      <c r="F13" s="582">
        <f>E13-D13</f>
        <v>-205217.84999999963</v>
      </c>
      <c r="G13" s="567">
        <f t="shared" si="2"/>
        <v>96.57970250000001</v>
      </c>
    </row>
    <row r="14" spans="1:9">
      <c r="B14" s="578">
        <v>3133</v>
      </c>
      <c r="C14" s="579" t="s">
        <v>307</v>
      </c>
      <c r="D14" s="580">
        <v>19000</v>
      </c>
      <c r="E14" s="581">
        <v>284.82</v>
      </c>
      <c r="F14" s="582">
        <f>E14-D14</f>
        <v>-18715.18</v>
      </c>
      <c r="G14" s="567">
        <f t="shared" si="2"/>
        <v>1.4990526315789474</v>
      </c>
    </row>
    <row r="15" spans="1:9" ht="15.75">
      <c r="A15" s="555" t="e">
        <f>LEN(#REF!)</f>
        <v>#REF!</v>
      </c>
      <c r="B15" s="568" t="s">
        <v>308</v>
      </c>
      <c r="C15" s="569" t="s">
        <v>309</v>
      </c>
      <c r="D15" s="570">
        <f t="shared" ref="D15" si="7">D16+D21+D28+D38+D40</f>
        <v>33324321</v>
      </c>
      <c r="E15" s="571">
        <f>E16+E21+E28+E38+E40</f>
        <v>31193138.229999997</v>
      </c>
      <c r="F15" s="590">
        <f>F16+F21+F28+F38+F40</f>
        <v>-2131182.77</v>
      </c>
      <c r="G15" s="567">
        <f t="shared" si="2"/>
        <v>93.604722598849037</v>
      </c>
    </row>
    <row r="16" spans="1:9" ht="12.75">
      <c r="A16" s="555" t="e">
        <f>LEN(#REF!)</f>
        <v>#REF!</v>
      </c>
      <c r="B16" s="573" t="s">
        <v>310</v>
      </c>
      <c r="C16" s="574" t="s">
        <v>311</v>
      </c>
      <c r="D16" s="575">
        <f t="shared" ref="D16" si="8">SUM(D17:D20)</f>
        <v>1510000</v>
      </c>
      <c r="E16" s="576">
        <f>SUM(E17:E20)</f>
        <v>1430439.31</v>
      </c>
      <c r="F16" s="585">
        <f>SUM(F17:F20)</f>
        <v>-79560.68999999993</v>
      </c>
      <c r="G16" s="567">
        <f t="shared" si="2"/>
        <v>94.73108013245033</v>
      </c>
    </row>
    <row r="17" spans="1:11">
      <c r="A17" s="555" t="e">
        <f>LEN(#REF!)</f>
        <v>#REF!</v>
      </c>
      <c r="B17" s="578" t="s">
        <v>312</v>
      </c>
      <c r="C17" s="579" t="s">
        <v>313</v>
      </c>
      <c r="D17" s="583">
        <v>185000</v>
      </c>
      <c r="E17" s="581">
        <v>164965.69</v>
      </c>
      <c r="F17" s="582">
        <f>E17-D17</f>
        <v>-20034.309999999998</v>
      </c>
      <c r="G17" s="567">
        <f t="shared" si="2"/>
        <v>89.170643243243248</v>
      </c>
    </row>
    <row r="18" spans="1:11">
      <c r="A18" s="555" t="e">
        <f>LEN(#REF!)</f>
        <v>#REF!</v>
      </c>
      <c r="B18" s="578" t="s">
        <v>314</v>
      </c>
      <c r="C18" s="579" t="s">
        <v>315</v>
      </c>
      <c r="D18" s="580">
        <v>1200000</v>
      </c>
      <c r="E18" s="581">
        <v>1147237.33</v>
      </c>
      <c r="F18" s="582">
        <f t="shared" ref="F18:F20" si="9">E18-D18</f>
        <v>-52762.669999999925</v>
      </c>
      <c r="G18" s="567">
        <f t="shared" si="2"/>
        <v>95.603110833333332</v>
      </c>
    </row>
    <row r="19" spans="1:11">
      <c r="A19" s="555" t="e">
        <f>LEN(#REF!)</f>
        <v>#REF!</v>
      </c>
      <c r="B19" s="578" t="s">
        <v>316</v>
      </c>
      <c r="C19" s="579" t="s">
        <v>317</v>
      </c>
      <c r="D19" s="591">
        <v>120000</v>
      </c>
      <c r="E19" s="581">
        <v>118236.29</v>
      </c>
      <c r="F19" s="582">
        <f t="shared" si="9"/>
        <v>-1763.7100000000064</v>
      </c>
      <c r="G19" s="567">
        <f t="shared" si="2"/>
        <v>98.530241666666669</v>
      </c>
    </row>
    <row r="20" spans="1:11">
      <c r="A20" s="555" t="e">
        <f>LEN(#REF!)</f>
        <v>#REF!</v>
      </c>
      <c r="B20" s="578" t="s">
        <v>318</v>
      </c>
      <c r="C20" s="579" t="s">
        <v>319</v>
      </c>
      <c r="D20" s="580">
        <v>5000</v>
      </c>
      <c r="E20" s="581">
        <v>0</v>
      </c>
      <c r="F20" s="582">
        <f t="shared" si="9"/>
        <v>-5000</v>
      </c>
      <c r="G20" s="567">
        <f t="shared" si="2"/>
        <v>0</v>
      </c>
    </row>
    <row r="21" spans="1:11" ht="12.75">
      <c r="A21" s="555" t="e">
        <f>LEN(#REF!)</f>
        <v>#REF!</v>
      </c>
      <c r="B21" s="573" t="s">
        <v>320</v>
      </c>
      <c r="C21" s="574" t="s">
        <v>321</v>
      </c>
      <c r="D21" s="575">
        <f t="shared" ref="D21" si="10">SUM(D22:D27)</f>
        <v>19290937</v>
      </c>
      <c r="E21" s="576">
        <f>SUM(E22:E27)</f>
        <v>19374296.609999999</v>
      </c>
      <c r="F21" s="585">
        <f>SUM(F22:F27)</f>
        <v>83359.60999999968</v>
      </c>
      <c r="G21" s="592">
        <f t="shared" si="2"/>
        <v>100.43211799406116</v>
      </c>
      <c r="I21" s="593">
        <v>18372321</v>
      </c>
      <c r="J21" s="555" t="s">
        <v>322</v>
      </c>
      <c r="K21" s="593">
        <f>I21*5/100</f>
        <v>918616.05</v>
      </c>
    </row>
    <row r="22" spans="1:11">
      <c r="A22" s="555" t="e">
        <f>LEN(#REF!)</f>
        <v>#REF!</v>
      </c>
      <c r="B22" s="578" t="s">
        <v>323</v>
      </c>
      <c r="C22" s="579" t="s">
        <v>324</v>
      </c>
      <c r="D22" s="580">
        <v>900000</v>
      </c>
      <c r="E22" s="581">
        <v>910446.85</v>
      </c>
      <c r="F22" s="582">
        <f>E22-D22</f>
        <v>10446.849999999977</v>
      </c>
      <c r="G22" s="592">
        <f t="shared" si="2"/>
        <v>101.16076111111111</v>
      </c>
    </row>
    <row r="23" spans="1:11">
      <c r="A23" s="555" t="e">
        <f>LEN(#REF!)</f>
        <v>#REF!</v>
      </c>
      <c r="B23" s="578" t="s">
        <v>325</v>
      </c>
      <c r="C23" s="579" t="s">
        <v>326</v>
      </c>
      <c r="D23" s="594">
        <f>13187321+918616</f>
        <v>14105937</v>
      </c>
      <c r="E23" s="581">
        <v>14543902.6</v>
      </c>
      <c r="F23" s="582">
        <f t="shared" ref="F23:F27" si="11">E23-D23</f>
        <v>437965.59999999963</v>
      </c>
      <c r="G23" s="592">
        <f t="shared" si="2"/>
        <v>103.10483167477638</v>
      </c>
      <c r="I23" s="555" t="s">
        <v>327</v>
      </c>
    </row>
    <row r="24" spans="1:11">
      <c r="A24" s="555" t="e">
        <f>LEN(#REF!)</f>
        <v>#REF!</v>
      </c>
      <c r="B24" s="578" t="s">
        <v>328</v>
      </c>
      <c r="C24" s="579" t="s">
        <v>329</v>
      </c>
      <c r="D24" s="580">
        <v>3600000</v>
      </c>
      <c r="E24" s="581">
        <v>3314627.85</v>
      </c>
      <c r="F24" s="582">
        <f t="shared" si="11"/>
        <v>-285372.14999999991</v>
      </c>
      <c r="G24" s="567">
        <f t="shared" si="2"/>
        <v>92.072995833333337</v>
      </c>
    </row>
    <row r="25" spans="1:11">
      <c r="A25" s="555" t="e">
        <f>LEN(#REF!)</f>
        <v>#REF!</v>
      </c>
      <c r="B25" s="578" t="s">
        <v>330</v>
      </c>
      <c r="C25" s="579" t="s">
        <v>331</v>
      </c>
      <c r="D25" s="580">
        <v>355000</v>
      </c>
      <c r="E25" s="581">
        <v>315201.48</v>
      </c>
      <c r="F25" s="582">
        <f t="shared" si="11"/>
        <v>-39798.520000000019</v>
      </c>
      <c r="G25" s="567">
        <f t="shared" si="2"/>
        <v>88.789149295774635</v>
      </c>
    </row>
    <row r="26" spans="1:11">
      <c r="A26" s="555" t="e">
        <f>LEN(#REF!)</f>
        <v>#REF!</v>
      </c>
      <c r="B26" s="578" t="s">
        <v>332</v>
      </c>
      <c r="C26" s="579" t="s">
        <v>333</v>
      </c>
      <c r="D26" s="583">
        <v>205000</v>
      </c>
      <c r="E26" s="581">
        <v>199770.97</v>
      </c>
      <c r="F26" s="582">
        <f t="shared" si="11"/>
        <v>-5229.0299999999988</v>
      </c>
      <c r="G26" s="567">
        <f t="shared" si="2"/>
        <v>97.449253658536577</v>
      </c>
    </row>
    <row r="27" spans="1:11">
      <c r="A27" s="555" t="e">
        <f>LEN(#REF!)</f>
        <v>#REF!</v>
      </c>
      <c r="B27" s="578" t="s">
        <v>334</v>
      </c>
      <c r="C27" s="579" t="s">
        <v>335</v>
      </c>
      <c r="D27" s="583">
        <v>125000</v>
      </c>
      <c r="E27" s="581">
        <v>90346.86</v>
      </c>
      <c r="F27" s="582">
        <f t="shared" si="11"/>
        <v>-34653.14</v>
      </c>
      <c r="G27" s="567">
        <f t="shared" si="2"/>
        <v>72.277488000000005</v>
      </c>
    </row>
    <row r="28" spans="1:11" ht="12.75">
      <c r="A28" s="555" t="e">
        <f>LEN(#REF!)</f>
        <v>#REF!</v>
      </c>
      <c r="B28" s="573" t="s">
        <v>336</v>
      </c>
      <c r="C28" s="574" t="s">
        <v>337</v>
      </c>
      <c r="D28" s="575">
        <f t="shared" ref="D28" si="12">SUM(D29:D37)</f>
        <v>11833384</v>
      </c>
      <c r="E28" s="576">
        <f>SUM(E29:E37)</f>
        <v>9866956.4499999993</v>
      </c>
      <c r="F28" s="585">
        <f>SUM(F29:F37)</f>
        <v>-1966427.5499999996</v>
      </c>
      <c r="G28" s="567">
        <f t="shared" si="2"/>
        <v>83.382373545893543</v>
      </c>
    </row>
    <row r="29" spans="1:11">
      <c r="A29" s="555" t="e">
        <f>LEN(#REF!)</f>
        <v>#REF!</v>
      </c>
      <c r="B29" s="578" t="s">
        <v>338</v>
      </c>
      <c r="C29" s="579" t="s">
        <v>339</v>
      </c>
      <c r="D29" s="580">
        <v>357000</v>
      </c>
      <c r="E29" s="581">
        <v>341394.63</v>
      </c>
      <c r="F29" s="582">
        <f>E29-D29</f>
        <v>-15605.369999999995</v>
      </c>
      <c r="G29" s="567">
        <f t="shared" si="2"/>
        <v>95.628747899159663</v>
      </c>
    </row>
    <row r="30" spans="1:11">
      <c r="A30" s="555" t="e">
        <f>LEN(#REF!)</f>
        <v>#REF!</v>
      </c>
      <c r="B30" s="578" t="s">
        <v>340</v>
      </c>
      <c r="C30" s="579" t="s">
        <v>341</v>
      </c>
      <c r="D30" s="595">
        <f>7915000-918616</f>
        <v>6996384</v>
      </c>
      <c r="E30" s="581">
        <v>5180744.6900000004</v>
      </c>
      <c r="F30" s="582">
        <f t="shared" ref="F30:F37" si="13">E30-D30</f>
        <v>-1815639.3099999996</v>
      </c>
      <c r="G30" s="567">
        <f t="shared" si="2"/>
        <v>74.048889969447089</v>
      </c>
      <c r="H30" s="596"/>
      <c r="I30" s="593" t="s">
        <v>342</v>
      </c>
    </row>
    <row r="31" spans="1:11">
      <c r="A31" s="555" t="e">
        <f>LEN(#REF!)</f>
        <v>#REF!</v>
      </c>
      <c r="B31" s="578" t="s">
        <v>343</v>
      </c>
      <c r="C31" s="579" t="s">
        <v>344</v>
      </c>
      <c r="D31" s="583">
        <v>400000</v>
      </c>
      <c r="E31" s="581">
        <v>383272.84</v>
      </c>
      <c r="F31" s="582">
        <f t="shared" si="13"/>
        <v>-16727.159999999974</v>
      </c>
      <c r="G31" s="567">
        <f t="shared" si="2"/>
        <v>95.818210000000008</v>
      </c>
      <c r="H31" s="596"/>
    </row>
    <row r="32" spans="1:11">
      <c r="A32" s="555" t="e">
        <f>LEN(#REF!)</f>
        <v>#REF!</v>
      </c>
      <c r="B32" s="578" t="s">
        <v>345</v>
      </c>
      <c r="C32" s="579" t="s">
        <v>346</v>
      </c>
      <c r="D32" s="580">
        <v>1200000</v>
      </c>
      <c r="E32" s="581">
        <v>1078844.49</v>
      </c>
      <c r="F32" s="582">
        <f t="shared" si="13"/>
        <v>-121155.51000000001</v>
      </c>
      <c r="G32" s="567">
        <f t="shared" si="2"/>
        <v>89.903707499999996</v>
      </c>
      <c r="H32" s="596"/>
    </row>
    <row r="33" spans="1:10">
      <c r="A33" s="555" t="e">
        <f>LEN(#REF!)</f>
        <v>#REF!</v>
      </c>
      <c r="B33" s="578" t="s">
        <v>347</v>
      </c>
      <c r="C33" s="579" t="s">
        <v>348</v>
      </c>
      <c r="D33" s="597">
        <v>560000</v>
      </c>
      <c r="E33" s="581">
        <v>578091.72</v>
      </c>
      <c r="F33" s="582">
        <f t="shared" si="13"/>
        <v>18091.719999999972</v>
      </c>
      <c r="G33" s="592">
        <f t="shared" si="2"/>
        <v>103.23066428571428</v>
      </c>
      <c r="H33" s="596"/>
    </row>
    <row r="34" spans="1:10">
      <c r="A34" s="555" t="e">
        <f>LEN(#REF!)</f>
        <v>#REF!</v>
      </c>
      <c r="B34" s="578" t="s">
        <v>349</v>
      </c>
      <c r="C34" s="579" t="s">
        <v>350</v>
      </c>
      <c r="D34" s="597">
        <v>400000</v>
      </c>
      <c r="E34" s="581">
        <v>446639.31</v>
      </c>
      <c r="F34" s="582">
        <f t="shared" si="13"/>
        <v>46639.31</v>
      </c>
      <c r="G34" s="592">
        <f t="shared" si="2"/>
        <v>111.65982750000001</v>
      </c>
      <c r="H34" s="596"/>
    </row>
    <row r="35" spans="1:10">
      <c r="A35" s="555" t="e">
        <f>LEN(#REF!)</f>
        <v>#REF!</v>
      </c>
      <c r="B35" s="578" t="s">
        <v>351</v>
      </c>
      <c r="C35" s="579" t="s">
        <v>352</v>
      </c>
      <c r="D35" s="597">
        <v>700000</v>
      </c>
      <c r="E35" s="581">
        <v>584640.05000000005</v>
      </c>
      <c r="F35" s="582">
        <f t="shared" si="13"/>
        <v>-115359.94999999995</v>
      </c>
      <c r="G35" s="567">
        <f t="shared" si="2"/>
        <v>83.520007142857139</v>
      </c>
      <c r="H35" s="596"/>
    </row>
    <row r="36" spans="1:10">
      <c r="A36" s="555" t="e">
        <f>LEN(#REF!)</f>
        <v>#REF!</v>
      </c>
      <c r="B36" s="578" t="s">
        <v>353</v>
      </c>
      <c r="C36" s="579" t="s">
        <v>354</v>
      </c>
      <c r="D36" s="597">
        <v>470000</v>
      </c>
      <c r="E36" s="581">
        <v>489518.19</v>
      </c>
      <c r="F36" s="582">
        <f t="shared" si="13"/>
        <v>19518.190000000002</v>
      </c>
      <c r="G36" s="592">
        <f t="shared" si="2"/>
        <v>104.15280638297872</v>
      </c>
      <c r="H36" s="596"/>
    </row>
    <row r="37" spans="1:10">
      <c r="A37" s="555" t="e">
        <f>LEN(#REF!)</f>
        <v>#REF!</v>
      </c>
      <c r="B37" s="578" t="s">
        <v>355</v>
      </c>
      <c r="C37" s="579" t="s">
        <v>356</v>
      </c>
      <c r="D37" s="597">
        <v>750000</v>
      </c>
      <c r="E37" s="581">
        <v>783810.53</v>
      </c>
      <c r="F37" s="582">
        <f t="shared" si="13"/>
        <v>33810.530000000028</v>
      </c>
      <c r="G37" s="592">
        <f t="shared" si="2"/>
        <v>104.50807066666667</v>
      </c>
      <c r="H37" s="596"/>
      <c r="J37" s="598"/>
    </row>
    <row r="38" spans="1:10" ht="12.75">
      <c r="A38" s="555" t="e">
        <f>LEN(#REF!)</f>
        <v>#REF!</v>
      </c>
      <c r="B38" s="573" t="s">
        <v>357</v>
      </c>
      <c r="C38" s="574" t="s">
        <v>358</v>
      </c>
      <c r="D38" s="599">
        <f t="shared" ref="D38" si="14">D39</f>
        <v>15000</v>
      </c>
      <c r="E38" s="600">
        <f>E39</f>
        <v>13853.2</v>
      </c>
      <c r="F38" s="601">
        <f>F39</f>
        <v>-1146.7999999999993</v>
      </c>
      <c r="G38" s="567">
        <f t="shared" si="2"/>
        <v>92.354666666666674</v>
      </c>
    </row>
    <row r="39" spans="1:10">
      <c r="A39" s="555" t="e">
        <f>LEN(#REF!)</f>
        <v>#REF!</v>
      </c>
      <c r="B39" s="578" t="s">
        <v>359</v>
      </c>
      <c r="C39" s="579" t="s">
        <v>360</v>
      </c>
      <c r="D39" s="583">
        <v>15000</v>
      </c>
      <c r="E39" s="581">
        <v>13853.2</v>
      </c>
      <c r="F39" s="582">
        <f>E39-D39</f>
        <v>-1146.7999999999993</v>
      </c>
      <c r="G39" s="567">
        <f t="shared" si="2"/>
        <v>92.354666666666674</v>
      </c>
    </row>
    <row r="40" spans="1:10" ht="12.75">
      <c r="A40" s="555" t="e">
        <f>LEN(#REF!)</f>
        <v>#REF!</v>
      </c>
      <c r="B40" s="573" t="s">
        <v>361</v>
      </c>
      <c r="C40" s="574" t="s">
        <v>362</v>
      </c>
      <c r="D40" s="575">
        <f t="shared" ref="D40" si="15">SUM(D41:D47)</f>
        <v>675000</v>
      </c>
      <c r="E40" s="576">
        <f>SUM(E41:E47)</f>
        <v>507592.66000000003</v>
      </c>
      <c r="F40" s="585">
        <f>SUM(F41:F47)</f>
        <v>-167407.33999999997</v>
      </c>
      <c r="G40" s="567">
        <f t="shared" si="2"/>
        <v>75.198912592592592</v>
      </c>
    </row>
    <row r="41" spans="1:10">
      <c r="A41" s="555" t="e">
        <f>LEN(#REF!)</f>
        <v>#REF!</v>
      </c>
      <c r="B41" s="578" t="s">
        <v>363</v>
      </c>
      <c r="C41" s="579" t="s">
        <v>364</v>
      </c>
      <c r="D41" s="580">
        <v>90000</v>
      </c>
      <c r="E41" s="581">
        <v>74323.69</v>
      </c>
      <c r="F41" s="582">
        <f>E41-D41</f>
        <v>-15676.309999999998</v>
      </c>
      <c r="G41" s="567">
        <f t="shared" si="2"/>
        <v>82.581877777777777</v>
      </c>
    </row>
    <row r="42" spans="1:10">
      <c r="A42" s="555" t="e">
        <f>LEN(#REF!)</f>
        <v>#REF!</v>
      </c>
      <c r="B42" s="578" t="s">
        <v>365</v>
      </c>
      <c r="C42" s="579" t="s">
        <v>366</v>
      </c>
      <c r="D42" s="597">
        <v>240000</v>
      </c>
      <c r="E42" s="581">
        <v>206138.89</v>
      </c>
      <c r="F42" s="582">
        <f t="shared" ref="F42:F47" si="16">E42-D42</f>
        <v>-33861.109999999986</v>
      </c>
      <c r="G42" s="567">
        <f t="shared" si="2"/>
        <v>85.891204166666668</v>
      </c>
    </row>
    <row r="43" spans="1:10">
      <c r="A43" s="555" t="e">
        <f>LEN(#REF!)</f>
        <v>#REF!</v>
      </c>
      <c r="B43" s="578" t="s">
        <v>367</v>
      </c>
      <c r="C43" s="579" t="s">
        <v>368</v>
      </c>
      <c r="D43" s="583">
        <v>210000</v>
      </c>
      <c r="E43" s="602">
        <v>99240.77</v>
      </c>
      <c r="F43" s="582">
        <f t="shared" si="16"/>
        <v>-110759.23</v>
      </c>
      <c r="G43" s="567">
        <f t="shared" si="2"/>
        <v>47.257509523809524</v>
      </c>
    </row>
    <row r="44" spans="1:10">
      <c r="A44" s="555" t="e">
        <f>LEN(#REF!)</f>
        <v>#REF!</v>
      </c>
      <c r="B44" s="578" t="s">
        <v>369</v>
      </c>
      <c r="C44" s="579" t="s">
        <v>370</v>
      </c>
      <c r="D44" s="583">
        <v>40000</v>
      </c>
      <c r="E44" s="581">
        <v>34804</v>
      </c>
      <c r="F44" s="582">
        <f t="shared" si="16"/>
        <v>-5196</v>
      </c>
      <c r="G44" s="567">
        <f t="shared" si="2"/>
        <v>87.01</v>
      </c>
    </row>
    <row r="45" spans="1:10">
      <c r="A45" s="555" t="e">
        <f>LEN(#REF!)</f>
        <v>#REF!</v>
      </c>
      <c r="B45" s="578" t="s">
        <v>371</v>
      </c>
      <c r="C45" s="579" t="s">
        <v>372</v>
      </c>
      <c r="D45" s="580">
        <v>70000</v>
      </c>
      <c r="E45" s="581">
        <v>68798</v>
      </c>
      <c r="F45" s="582">
        <f t="shared" si="16"/>
        <v>-1202</v>
      </c>
      <c r="G45" s="567">
        <f t="shared" si="2"/>
        <v>98.282857142857139</v>
      </c>
    </row>
    <row r="46" spans="1:10">
      <c r="A46" s="555" t="e">
        <f>LEN(#REF!)</f>
        <v>#REF!</v>
      </c>
      <c r="B46" s="578" t="s">
        <v>373</v>
      </c>
      <c r="C46" s="579" t="s">
        <v>374</v>
      </c>
      <c r="D46" s="580">
        <v>5000</v>
      </c>
      <c r="E46" s="581">
        <v>2500</v>
      </c>
      <c r="F46" s="582">
        <f t="shared" si="16"/>
        <v>-2500</v>
      </c>
      <c r="G46" s="567">
        <f t="shared" si="2"/>
        <v>50</v>
      </c>
    </row>
    <row r="47" spans="1:10">
      <c r="A47" s="555" t="e">
        <f>LEN(#REF!)</f>
        <v>#REF!</v>
      </c>
      <c r="B47" s="578" t="s">
        <v>375</v>
      </c>
      <c r="C47" s="579" t="s">
        <v>376</v>
      </c>
      <c r="D47" s="580">
        <v>20000</v>
      </c>
      <c r="E47" s="581">
        <v>21787.31</v>
      </c>
      <c r="F47" s="582">
        <f t="shared" si="16"/>
        <v>1787.3100000000013</v>
      </c>
      <c r="G47" s="592">
        <f t="shared" si="2"/>
        <v>108.93655</v>
      </c>
    </row>
    <row r="48" spans="1:10" ht="15.75">
      <c r="A48" s="555" t="e">
        <f>LEN(#REF!)</f>
        <v>#REF!</v>
      </c>
      <c r="B48" s="603" t="s">
        <v>377</v>
      </c>
      <c r="C48" s="604" t="s">
        <v>251</v>
      </c>
      <c r="D48" s="605">
        <f t="shared" ref="D48:F48" si="17">D51+D49</f>
        <v>274679</v>
      </c>
      <c r="E48" s="571">
        <f t="shared" si="17"/>
        <v>250983.59000000003</v>
      </c>
      <c r="F48" s="590">
        <f t="shared" si="17"/>
        <v>-23695.409999999993</v>
      </c>
      <c r="G48" s="567">
        <f t="shared" si="2"/>
        <v>91.373417698477141</v>
      </c>
    </row>
    <row r="49" spans="1:7" ht="12.75">
      <c r="B49" s="606">
        <v>342</v>
      </c>
      <c r="C49" s="607" t="s">
        <v>378</v>
      </c>
      <c r="D49" s="608">
        <f t="shared" ref="D49" si="18">SUM(D50)</f>
        <v>34679</v>
      </c>
      <c r="E49" s="576">
        <f>SUM(E50)</f>
        <v>34678.42</v>
      </c>
      <c r="F49" s="585">
        <f>SUM(F50)</f>
        <v>-0.58000000000174623</v>
      </c>
      <c r="G49" s="567">
        <f t="shared" si="2"/>
        <v>99.998327518094527</v>
      </c>
    </row>
    <row r="50" spans="1:7">
      <c r="B50" s="609">
        <v>3423</v>
      </c>
      <c r="C50" s="579" t="s">
        <v>379</v>
      </c>
      <c r="D50" s="580">
        <v>34679</v>
      </c>
      <c r="E50" s="581">
        <v>34678.42</v>
      </c>
      <c r="F50" s="582">
        <f>E50-D50</f>
        <v>-0.58000000000174623</v>
      </c>
      <c r="G50" s="567">
        <f t="shared" si="2"/>
        <v>99.998327518094527</v>
      </c>
    </row>
    <row r="51" spans="1:7" ht="12.75">
      <c r="A51" s="555" t="e">
        <f>LEN(#REF!)</f>
        <v>#REF!</v>
      </c>
      <c r="B51" s="573" t="s">
        <v>380</v>
      </c>
      <c r="C51" s="574" t="s">
        <v>381</v>
      </c>
      <c r="D51" s="575">
        <f t="shared" ref="D51" si="19">SUM(D52:D55)</f>
        <v>240000</v>
      </c>
      <c r="E51" s="576">
        <f>SUM(E52:E55)</f>
        <v>216305.17</v>
      </c>
      <c r="F51" s="585">
        <f>SUM(F52:F55)</f>
        <v>-23694.829999999991</v>
      </c>
      <c r="G51" s="567">
        <f t="shared" si="2"/>
        <v>90.127154166666671</v>
      </c>
    </row>
    <row r="52" spans="1:7">
      <c r="A52" s="555" t="e">
        <f>LEN(#REF!)</f>
        <v>#REF!</v>
      </c>
      <c r="B52" s="578" t="s">
        <v>382</v>
      </c>
      <c r="C52" s="579" t="s">
        <v>383</v>
      </c>
      <c r="D52" s="580">
        <v>40000</v>
      </c>
      <c r="E52" s="581">
        <v>34271.29</v>
      </c>
      <c r="F52" s="582">
        <f>E52-D52</f>
        <v>-5728.7099999999991</v>
      </c>
      <c r="G52" s="567">
        <f t="shared" si="2"/>
        <v>85.678224999999998</v>
      </c>
    </row>
    <row r="53" spans="1:7">
      <c r="A53" s="555" t="e">
        <f>LEN(#REF!)</f>
        <v>#REF!</v>
      </c>
      <c r="B53" s="578" t="s">
        <v>384</v>
      </c>
      <c r="C53" s="579" t="s">
        <v>385</v>
      </c>
      <c r="D53" s="583">
        <v>60000</v>
      </c>
      <c r="E53" s="581">
        <v>54254.44</v>
      </c>
      <c r="F53" s="582">
        <f t="shared" ref="F53:F55" si="20">E53-D53</f>
        <v>-5745.5599999999977</v>
      </c>
      <c r="G53" s="567">
        <f t="shared" si="2"/>
        <v>90.424066666666675</v>
      </c>
    </row>
    <row r="54" spans="1:7">
      <c r="A54" s="555" t="e">
        <f>LEN(#REF!)</f>
        <v>#REF!</v>
      </c>
      <c r="B54" s="610" t="s">
        <v>386</v>
      </c>
      <c r="C54" s="611" t="s">
        <v>387</v>
      </c>
      <c r="D54" s="580">
        <v>10000</v>
      </c>
      <c r="E54" s="581">
        <v>6143.62</v>
      </c>
      <c r="F54" s="582">
        <f t="shared" si="20"/>
        <v>-3856.38</v>
      </c>
      <c r="G54" s="567">
        <f t="shared" si="2"/>
        <v>61.436199999999999</v>
      </c>
    </row>
    <row r="55" spans="1:7">
      <c r="B55" s="612" t="s">
        <v>388</v>
      </c>
      <c r="C55" s="613" t="s">
        <v>389</v>
      </c>
      <c r="D55" s="597">
        <v>130000</v>
      </c>
      <c r="E55" s="581">
        <v>121635.82</v>
      </c>
      <c r="F55" s="582">
        <f t="shared" si="20"/>
        <v>-8364.179999999993</v>
      </c>
      <c r="G55" s="567">
        <f t="shared" si="2"/>
        <v>93.566015384615383</v>
      </c>
    </row>
    <row r="56" spans="1:7" ht="15.75">
      <c r="B56" s="614">
        <v>38</v>
      </c>
      <c r="C56" s="604" t="s">
        <v>390</v>
      </c>
      <c r="D56" s="605">
        <f t="shared" ref="D56:D57" si="21">SUM(D57)</f>
        <v>20000</v>
      </c>
      <c r="E56" s="571">
        <f>SUM(E57)</f>
        <v>0</v>
      </c>
      <c r="F56" s="590">
        <f>SUM(F57)</f>
        <v>-20000</v>
      </c>
      <c r="G56" s="567">
        <f t="shared" si="2"/>
        <v>0</v>
      </c>
    </row>
    <row r="57" spans="1:7" ht="12.75">
      <c r="B57" s="606">
        <v>383</v>
      </c>
      <c r="C57" s="607" t="s">
        <v>391</v>
      </c>
      <c r="D57" s="575">
        <f t="shared" si="21"/>
        <v>20000</v>
      </c>
      <c r="E57" s="576">
        <f>SUM(E58)</f>
        <v>0</v>
      </c>
      <c r="F57" s="585">
        <f>SUM(F58)</f>
        <v>-20000</v>
      </c>
      <c r="G57" s="567">
        <f t="shared" si="2"/>
        <v>0</v>
      </c>
    </row>
    <row r="58" spans="1:7">
      <c r="B58" s="609">
        <v>3831</v>
      </c>
      <c r="C58" s="611" t="s">
        <v>392</v>
      </c>
      <c r="D58" s="580">
        <v>20000</v>
      </c>
      <c r="E58" s="581">
        <v>0</v>
      </c>
      <c r="F58" s="582">
        <f>E58-D58</f>
        <v>-20000</v>
      </c>
      <c r="G58" s="567">
        <f t="shared" si="2"/>
        <v>0</v>
      </c>
    </row>
    <row r="59" spans="1:7" ht="15.75">
      <c r="A59" s="555" t="e">
        <f>LEN(#REF!)</f>
        <v>#REF!</v>
      </c>
      <c r="B59" s="615" t="s">
        <v>393</v>
      </c>
      <c r="C59" s="616" t="s">
        <v>394</v>
      </c>
      <c r="D59" s="617">
        <f t="shared" ref="D59" si="22">D60+D64+D74</f>
        <v>6114762.5</v>
      </c>
      <c r="E59" s="618">
        <f>E60+E64+E73</f>
        <v>4513290.3099999996</v>
      </c>
      <c r="F59" s="619">
        <f>F60+F64+F73</f>
        <v>-1601472.19</v>
      </c>
      <c r="G59" s="567">
        <f t="shared" si="2"/>
        <v>73.809740116643937</v>
      </c>
    </row>
    <row r="60" spans="1:7" ht="15.75">
      <c r="A60" s="555" t="e">
        <f>LEN(#REF!)</f>
        <v>#REF!</v>
      </c>
      <c r="B60" s="620" t="s">
        <v>395</v>
      </c>
      <c r="C60" s="621" t="s">
        <v>396</v>
      </c>
      <c r="D60" s="622">
        <f t="shared" ref="D60" si="23">D61</f>
        <v>157500</v>
      </c>
      <c r="E60" s="623">
        <f>E61</f>
        <v>148864.48000000001</v>
      </c>
      <c r="F60" s="624">
        <f>F61</f>
        <v>-8635.5199999999968</v>
      </c>
      <c r="G60" s="567">
        <f t="shared" si="2"/>
        <v>94.517130158730168</v>
      </c>
    </row>
    <row r="61" spans="1:7" ht="12.75">
      <c r="A61" s="555" t="e">
        <f>LEN(#REF!)</f>
        <v>#REF!</v>
      </c>
      <c r="B61" s="625" t="s">
        <v>397</v>
      </c>
      <c r="C61" s="626" t="s">
        <v>398</v>
      </c>
      <c r="D61" s="627">
        <f t="shared" ref="D61:F61" si="24">D62+D63</f>
        <v>157500</v>
      </c>
      <c r="E61" s="628">
        <f t="shared" si="24"/>
        <v>148864.48000000001</v>
      </c>
      <c r="F61" s="629">
        <f t="shared" si="24"/>
        <v>-8635.5199999999968</v>
      </c>
      <c r="G61" s="567">
        <f t="shared" si="2"/>
        <v>94.517130158730168</v>
      </c>
    </row>
    <row r="62" spans="1:7">
      <c r="A62" s="555" t="e">
        <f>LEN(#REF!)</f>
        <v>#REF!</v>
      </c>
      <c r="B62" s="630" t="s">
        <v>399</v>
      </c>
      <c r="C62" s="631" t="s">
        <v>400</v>
      </c>
      <c r="D62" s="580">
        <v>67500</v>
      </c>
      <c r="E62" s="581">
        <v>59584.480000000003</v>
      </c>
      <c r="F62" s="632">
        <f>E62-D62</f>
        <v>-7915.5199999999968</v>
      </c>
      <c r="G62" s="567">
        <f t="shared" si="2"/>
        <v>88.273303703703704</v>
      </c>
    </row>
    <row r="63" spans="1:7">
      <c r="B63" s="630">
        <v>4126</v>
      </c>
      <c r="C63" s="631" t="s">
        <v>401</v>
      </c>
      <c r="D63" s="580">
        <v>90000</v>
      </c>
      <c r="E63" s="581">
        <v>89280</v>
      </c>
      <c r="F63" s="632">
        <f>E63-D63</f>
        <v>-720</v>
      </c>
      <c r="G63" s="567">
        <f t="shared" si="2"/>
        <v>99.2</v>
      </c>
    </row>
    <row r="64" spans="1:7" ht="15.75">
      <c r="A64" s="555" t="e">
        <f>LEN(#REF!)</f>
        <v>#REF!</v>
      </c>
      <c r="B64" s="633" t="s">
        <v>402</v>
      </c>
      <c r="C64" s="634" t="s">
        <v>403</v>
      </c>
      <c r="D64" s="622">
        <f t="shared" ref="D64" si="25">D65+D71</f>
        <v>5035000</v>
      </c>
      <c r="E64" s="623">
        <f>E65+E71</f>
        <v>4163201.73</v>
      </c>
      <c r="F64" s="624">
        <f>F65+F71</f>
        <v>-871798.27</v>
      </c>
      <c r="G64" s="567">
        <f t="shared" si="2"/>
        <v>82.685237934458783</v>
      </c>
    </row>
    <row r="65" spans="1:8" ht="12.75">
      <c r="A65" s="555" t="e">
        <f>LEN(#REF!)</f>
        <v>#REF!</v>
      </c>
      <c r="B65" s="635" t="s">
        <v>404</v>
      </c>
      <c r="C65" s="625" t="s">
        <v>405</v>
      </c>
      <c r="D65" s="627">
        <f t="shared" ref="D65" si="26">SUM(D66:D70)</f>
        <v>4735000</v>
      </c>
      <c r="E65" s="628">
        <f>SUM(E66:E70)</f>
        <v>4101654.48</v>
      </c>
      <c r="F65" s="629">
        <f>SUM(F66:F70)</f>
        <v>-633345.52</v>
      </c>
      <c r="G65" s="567">
        <f t="shared" si="2"/>
        <v>86.624170644139383</v>
      </c>
    </row>
    <row r="66" spans="1:8">
      <c r="A66" s="555" t="e">
        <f>LEN(#REF!)</f>
        <v>#REF!</v>
      </c>
      <c r="B66" s="630" t="s">
        <v>406</v>
      </c>
      <c r="C66" s="636" t="s">
        <v>407</v>
      </c>
      <c r="D66" s="580">
        <v>335000</v>
      </c>
      <c r="E66" s="581">
        <v>330300.53000000003</v>
      </c>
      <c r="F66" s="582">
        <f>E66-D66</f>
        <v>-4699.4699999999721</v>
      </c>
      <c r="G66" s="567">
        <f t="shared" si="2"/>
        <v>98.597173134328358</v>
      </c>
    </row>
    <row r="67" spans="1:8">
      <c r="A67" s="555" t="e">
        <f>LEN(#REF!)</f>
        <v>#REF!</v>
      </c>
      <c r="B67" s="630" t="s">
        <v>408</v>
      </c>
      <c r="C67" s="636" t="s">
        <v>409</v>
      </c>
      <c r="D67" s="580">
        <v>40000</v>
      </c>
      <c r="E67" s="581">
        <v>5838.98</v>
      </c>
      <c r="F67" s="582">
        <f t="shared" ref="F67:F70" si="27">E67-D67</f>
        <v>-34161.020000000004</v>
      </c>
      <c r="G67" s="567">
        <f t="shared" si="2"/>
        <v>14.597449999999998</v>
      </c>
    </row>
    <row r="68" spans="1:8">
      <c r="A68" s="555" t="e">
        <f>LEN(#REF!)</f>
        <v>#REF!</v>
      </c>
      <c r="B68" s="630" t="s">
        <v>410</v>
      </c>
      <c r="C68" s="636" t="s">
        <v>411</v>
      </c>
      <c r="D68" s="597">
        <v>80000</v>
      </c>
      <c r="E68" s="581">
        <v>69253.740000000005</v>
      </c>
      <c r="F68" s="582">
        <f t="shared" si="27"/>
        <v>-10746.259999999995</v>
      </c>
      <c r="G68" s="567">
        <f t="shared" si="2"/>
        <v>86.567175000000006</v>
      </c>
    </row>
    <row r="69" spans="1:8">
      <c r="A69" s="555" t="e">
        <f>LEN(#REF!)</f>
        <v>#REF!</v>
      </c>
      <c r="B69" s="630" t="s">
        <v>412</v>
      </c>
      <c r="C69" s="636" t="s">
        <v>413</v>
      </c>
      <c r="D69" s="597">
        <v>4200000</v>
      </c>
      <c r="E69" s="581">
        <v>3621162.73</v>
      </c>
      <c r="F69" s="582">
        <f t="shared" si="27"/>
        <v>-578837.27</v>
      </c>
      <c r="G69" s="567">
        <f t="shared" ref="G69:G80" si="28">E69/D69*100</f>
        <v>86.218160238095237</v>
      </c>
      <c r="H69" s="637"/>
    </row>
    <row r="70" spans="1:8">
      <c r="A70" s="555" t="e">
        <f>LEN(#REF!)</f>
        <v>#REF!</v>
      </c>
      <c r="B70" s="630" t="s">
        <v>414</v>
      </c>
      <c r="C70" s="636" t="s">
        <v>415</v>
      </c>
      <c r="D70" s="580">
        <v>80000</v>
      </c>
      <c r="E70" s="581">
        <v>75098.5</v>
      </c>
      <c r="F70" s="582">
        <f t="shared" si="27"/>
        <v>-4901.5</v>
      </c>
      <c r="G70" s="567">
        <f t="shared" si="28"/>
        <v>93.873125000000002</v>
      </c>
    </row>
    <row r="71" spans="1:8" ht="12.75">
      <c r="A71" s="555" t="e">
        <f>LEN(#REF!)</f>
        <v>#REF!</v>
      </c>
      <c r="B71" s="635" t="s">
        <v>416</v>
      </c>
      <c r="C71" s="625" t="s">
        <v>417</v>
      </c>
      <c r="D71" s="638">
        <f>SUM(D72:D72)</f>
        <v>300000</v>
      </c>
      <c r="E71" s="639">
        <f>SUM(E72:E72)</f>
        <v>61547.25</v>
      </c>
      <c r="F71" s="640">
        <f>SUM(F72:F72)</f>
        <v>-238452.75</v>
      </c>
      <c r="G71" s="567">
        <f t="shared" si="28"/>
        <v>20.515750000000001</v>
      </c>
    </row>
    <row r="72" spans="1:8">
      <c r="A72" s="555" t="e">
        <f>LEN(#REF!)</f>
        <v>#REF!</v>
      </c>
      <c r="B72" s="630" t="s">
        <v>418</v>
      </c>
      <c r="C72" s="636" t="s">
        <v>419</v>
      </c>
      <c r="D72" s="583">
        <v>300000</v>
      </c>
      <c r="E72" s="581">
        <v>61547.25</v>
      </c>
      <c r="F72" s="582">
        <f>E72-D72</f>
        <v>-238452.75</v>
      </c>
      <c r="G72" s="567">
        <f t="shared" si="28"/>
        <v>20.515750000000001</v>
      </c>
    </row>
    <row r="73" spans="1:8" ht="26.25">
      <c r="B73" s="641">
        <v>45</v>
      </c>
      <c r="C73" s="621" t="s">
        <v>420</v>
      </c>
      <c r="D73" s="622">
        <f t="shared" ref="D73:D74" si="29">D74</f>
        <v>922262.5</v>
      </c>
      <c r="E73" s="623">
        <f>E74</f>
        <v>201224.1</v>
      </c>
      <c r="F73" s="624">
        <f>F74</f>
        <v>-721038.4</v>
      </c>
      <c r="G73" s="567">
        <f t="shared" si="28"/>
        <v>21.818527805261517</v>
      </c>
    </row>
    <row r="74" spans="1:8" ht="12.75">
      <c r="B74" s="642">
        <v>451</v>
      </c>
      <c r="C74" s="626" t="s">
        <v>421</v>
      </c>
      <c r="D74" s="627">
        <f t="shared" si="29"/>
        <v>922262.5</v>
      </c>
      <c r="E74" s="628">
        <f>E75</f>
        <v>201224.1</v>
      </c>
      <c r="F74" s="629">
        <f>F75</f>
        <v>-721038.4</v>
      </c>
      <c r="G74" s="567">
        <f t="shared" si="28"/>
        <v>21.818527805261517</v>
      </c>
    </row>
    <row r="75" spans="1:8">
      <c r="B75" s="630">
        <v>4511</v>
      </c>
      <c r="C75" s="631" t="s">
        <v>421</v>
      </c>
      <c r="D75" s="643">
        <v>922262.5</v>
      </c>
      <c r="E75" s="581">
        <v>201224.1</v>
      </c>
      <c r="F75" s="582">
        <f>E75-D75</f>
        <v>-721038.4</v>
      </c>
      <c r="G75" s="567">
        <f t="shared" si="28"/>
        <v>21.818527805261517</v>
      </c>
    </row>
    <row r="76" spans="1:8" ht="15.75">
      <c r="B76" s="644">
        <v>5</v>
      </c>
      <c r="C76" s="645" t="s">
        <v>422</v>
      </c>
      <c r="D76" s="646">
        <f t="shared" ref="D76:F78" si="30">SUM(D77)</f>
        <v>1049750</v>
      </c>
      <c r="E76" s="647">
        <f t="shared" si="30"/>
        <v>1049750</v>
      </c>
      <c r="F76" s="648">
        <f t="shared" si="30"/>
        <v>0</v>
      </c>
      <c r="G76" s="567">
        <f t="shared" si="28"/>
        <v>100</v>
      </c>
    </row>
    <row r="77" spans="1:8" ht="26.25" customHeight="1">
      <c r="B77" s="649">
        <v>54</v>
      </c>
      <c r="C77" s="650" t="s">
        <v>423</v>
      </c>
      <c r="D77" s="651">
        <f t="shared" si="30"/>
        <v>1049750</v>
      </c>
      <c r="E77" s="652">
        <f t="shared" si="30"/>
        <v>1049750</v>
      </c>
      <c r="F77" s="653">
        <f t="shared" si="30"/>
        <v>0</v>
      </c>
      <c r="G77" s="567">
        <f t="shared" si="28"/>
        <v>100</v>
      </c>
    </row>
    <row r="78" spans="1:8" ht="12.75">
      <c r="B78" s="654">
        <v>544</v>
      </c>
      <c r="C78" s="655" t="s">
        <v>424</v>
      </c>
      <c r="D78" s="656">
        <f t="shared" si="30"/>
        <v>1049750</v>
      </c>
      <c r="E78" s="657">
        <f t="shared" si="30"/>
        <v>1049750</v>
      </c>
      <c r="F78" s="658">
        <f t="shared" si="30"/>
        <v>0</v>
      </c>
      <c r="G78" s="567">
        <f t="shared" si="28"/>
        <v>100</v>
      </c>
    </row>
    <row r="79" spans="1:8" ht="12.75" thickBot="1">
      <c r="B79" s="659">
        <v>5443</v>
      </c>
      <c r="C79" s="660" t="s">
        <v>425</v>
      </c>
      <c r="D79" s="661">
        <v>1049750</v>
      </c>
      <c r="E79" s="662">
        <v>1049750</v>
      </c>
      <c r="F79" s="663">
        <f>E79-D79</f>
        <v>0</v>
      </c>
      <c r="G79" s="567">
        <f t="shared" si="28"/>
        <v>100</v>
      </c>
    </row>
    <row r="80" spans="1:8" ht="16.5" thickBot="1">
      <c r="C80" s="664" t="s">
        <v>23</v>
      </c>
      <c r="D80" s="665">
        <f>D59+D4+D76</f>
        <v>85114512.5</v>
      </c>
      <c r="E80" s="666">
        <f>E59+E4+E76</f>
        <v>80633751.840000004</v>
      </c>
      <c r="F80" s="667">
        <f>F59+F4+F76</f>
        <v>-4480760.6599999983</v>
      </c>
      <c r="G80" s="567">
        <f t="shared" si="28"/>
        <v>94.735609088990557</v>
      </c>
    </row>
    <row r="81" spans="2:6" ht="5.25" customHeight="1" thickBot="1">
      <c r="C81" s="668"/>
      <c r="E81" s="669"/>
      <c r="F81" s="669"/>
    </row>
    <row r="82" spans="2:6">
      <c r="B82" s="670"/>
      <c r="C82" s="671" t="s">
        <v>426</v>
      </c>
      <c r="D82" s="671">
        <f>'[1]PRIHODI  '!K24</f>
        <v>85315548.00999999</v>
      </c>
      <c r="E82" s="671">
        <f>'[1]PRIHODI  '!L24</f>
        <v>83270179.000000015</v>
      </c>
      <c r="F82" s="671">
        <f>'[1]PRIHODI  '!M24</f>
        <v>-2045369.0099999974</v>
      </c>
    </row>
    <row r="83" spans="2:6">
      <c r="B83" s="670"/>
      <c r="C83" s="672" t="s">
        <v>427</v>
      </c>
      <c r="D83" s="672">
        <f>D80</f>
        <v>85114512.5</v>
      </c>
      <c r="E83" s="672">
        <f t="shared" ref="E83:F83" si="31">E80</f>
        <v>80633751.840000004</v>
      </c>
      <c r="F83" s="582">
        <f t="shared" si="31"/>
        <v>-4480760.6599999983</v>
      </c>
    </row>
    <row r="84" spans="2:6" ht="12.75" thickBot="1">
      <c r="B84" s="670"/>
      <c r="C84" s="673" t="s">
        <v>428</v>
      </c>
      <c r="D84" s="673">
        <f>D82-D83</f>
        <v>201035.50999999046</v>
      </c>
      <c r="E84" s="673">
        <f t="shared" ref="E84:F84" si="32">E82-E83</f>
        <v>2636427.1600000113</v>
      </c>
      <c r="F84" s="674">
        <f t="shared" si="32"/>
        <v>2435391.6500000008</v>
      </c>
    </row>
    <row r="85" spans="2:6">
      <c r="E85" s="637"/>
      <c r="F85" s="637"/>
    </row>
    <row r="86" spans="2:6">
      <c r="D86" s="596"/>
      <c r="E86" s="675"/>
      <c r="F86" s="675"/>
    </row>
    <row r="87" spans="2:6">
      <c r="D87" s="596"/>
    </row>
    <row r="88" spans="2:6">
      <c r="E88" s="637"/>
      <c r="F88" s="637"/>
    </row>
    <row r="93" spans="2:6">
      <c r="F93" s="637"/>
    </row>
  </sheetData>
  <mergeCells count="2">
    <mergeCell ref="B1:G1"/>
    <mergeCell ref="B2:G2"/>
  </mergeCells>
  <pageMargins left="0.11811023622047245" right="0.11811023622047245" top="0.15748031496062992" bottom="0.15748031496062992" header="0.31496062992125984" footer="0.31496062992125984"/>
  <pageSetup paperSize="9"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30"/>
  <sheetViews>
    <sheetView workbookViewId="0">
      <selection activeCell="A82" sqref="A82"/>
    </sheetView>
  </sheetViews>
  <sheetFormatPr defaultRowHeight="15"/>
  <cols>
    <col min="1" max="1" width="12.42578125" style="404" customWidth="1"/>
    <col min="2" max="2" width="12.7109375" style="404" customWidth="1"/>
    <col min="3" max="3" width="20.7109375" style="404" customWidth="1"/>
    <col min="4" max="4" width="12.7109375" style="404" customWidth="1"/>
    <col min="5" max="5" width="20.7109375" style="404" customWidth="1"/>
    <col min="6" max="7" width="13.7109375" style="404" customWidth="1"/>
    <col min="8" max="9" width="9.140625" style="404"/>
    <col min="10" max="10" width="12.7109375" style="404" bestFit="1" customWidth="1"/>
    <col min="11" max="16384" width="9.140625" style="404"/>
  </cols>
  <sheetData>
    <row r="1" spans="1:10" ht="15.75" thickBot="1">
      <c r="A1" s="403" t="s">
        <v>60</v>
      </c>
      <c r="G1" s="531" t="s">
        <v>245</v>
      </c>
    </row>
    <row r="2" spans="1:10" ht="15.75" thickBot="1">
      <c r="A2" s="403"/>
    </row>
    <row r="3" spans="1:10" ht="27" thickBot="1">
      <c r="A3" s="860" t="s">
        <v>199</v>
      </c>
      <c r="B3" s="861"/>
      <c r="C3" s="861"/>
      <c r="D3" s="861"/>
      <c r="E3" s="861"/>
      <c r="F3" s="861"/>
      <c r="G3" s="862"/>
    </row>
    <row r="4" spans="1:10" ht="15.75" thickBot="1"/>
    <row r="5" spans="1:10" ht="60" customHeight="1">
      <c r="A5" s="863" t="s">
        <v>200</v>
      </c>
      <c r="B5" s="865" t="s">
        <v>201</v>
      </c>
      <c r="C5" s="866"/>
      <c r="D5" s="867" t="s">
        <v>202</v>
      </c>
      <c r="E5" s="868"/>
      <c r="F5" s="869" t="s">
        <v>203</v>
      </c>
      <c r="G5" s="871" t="s">
        <v>204</v>
      </c>
    </row>
    <row r="6" spans="1:10" ht="15.75" thickBot="1">
      <c r="A6" s="864"/>
      <c r="B6" s="405" t="s">
        <v>205</v>
      </c>
      <c r="C6" s="406" t="s">
        <v>206</v>
      </c>
      <c r="D6" s="405" t="s">
        <v>205</v>
      </c>
      <c r="E6" s="406" t="s">
        <v>206</v>
      </c>
      <c r="F6" s="870"/>
      <c r="G6" s="872"/>
    </row>
    <row r="7" spans="1:10" ht="21.95" customHeight="1">
      <c r="A7" s="407">
        <v>1</v>
      </c>
      <c r="B7" s="408">
        <f>12000</f>
        <v>12000</v>
      </c>
      <c r="C7" s="409">
        <v>43590</v>
      </c>
      <c r="D7" s="408">
        <f>12000+12000</f>
        <v>24000</v>
      </c>
      <c r="E7" s="409">
        <f>70155+72360</f>
        <v>142515</v>
      </c>
      <c r="F7" s="410">
        <f t="shared" ref="F7:G18" si="0">D7/B7*100</f>
        <v>200</v>
      </c>
      <c r="G7" s="411">
        <f>E7/C7*100</f>
        <v>326.9442532690984</v>
      </c>
    </row>
    <row r="8" spans="1:10" ht="21.95" customHeight="1">
      <c r="A8" s="412">
        <v>2</v>
      </c>
      <c r="B8" s="413">
        <f>12001+12005+12006</f>
        <v>36012</v>
      </c>
      <c r="C8" s="414">
        <f>45543.79+48800.34+46823.4</f>
        <v>141167.53</v>
      </c>
      <c r="D8" s="413">
        <f>12000+12000+12000</f>
        <v>36000</v>
      </c>
      <c r="E8" s="414">
        <f>75795+79320+79320</f>
        <v>234435</v>
      </c>
      <c r="F8" s="415">
        <f t="shared" si="0"/>
        <v>99.966677774075308</v>
      </c>
      <c r="G8" s="416">
        <f t="shared" si="0"/>
        <v>166.06864198870662</v>
      </c>
    </row>
    <row r="9" spans="1:10" ht="21.95" customHeight="1">
      <c r="A9" s="412">
        <v>3</v>
      </c>
      <c r="B9" s="413">
        <v>24007</v>
      </c>
      <c r="C9" s="414">
        <v>102629.93</v>
      </c>
      <c r="D9" s="413">
        <f>10000+8000+8000</f>
        <v>26000</v>
      </c>
      <c r="E9" s="414">
        <f>67962.5+54370+64900</f>
        <v>187232.5</v>
      </c>
      <c r="F9" s="415">
        <f t="shared" si="0"/>
        <v>108.3017453242804</v>
      </c>
      <c r="G9" s="416">
        <f t="shared" si="0"/>
        <v>182.43459778253771</v>
      </c>
    </row>
    <row r="10" spans="1:10" ht="21.95" customHeight="1">
      <c r="A10" s="412">
        <v>4</v>
      </c>
      <c r="B10" s="413">
        <v>24005</v>
      </c>
      <c r="C10" s="414">
        <v>101121.11</v>
      </c>
      <c r="D10" s="413">
        <f>12002+12004</f>
        <v>24006</v>
      </c>
      <c r="E10" s="414">
        <f>104599.85+104582.43</f>
        <v>209182.28</v>
      </c>
      <c r="F10" s="415">
        <f t="shared" si="0"/>
        <v>100.00416579879192</v>
      </c>
      <c r="G10" s="416">
        <f t="shared" si="0"/>
        <v>206.86311691001018</v>
      </c>
    </row>
    <row r="11" spans="1:10" ht="21.95" customHeight="1">
      <c r="A11" s="412">
        <v>5</v>
      </c>
      <c r="B11" s="413">
        <v>12002</v>
      </c>
      <c r="C11" s="414">
        <v>52898.83</v>
      </c>
      <c r="D11" s="413">
        <f>12000</f>
        <v>12000</v>
      </c>
      <c r="E11" s="414">
        <f>111480</f>
        <v>111480</v>
      </c>
      <c r="F11" s="415">
        <f t="shared" si="0"/>
        <v>99.983336110648224</v>
      </c>
      <c r="G11" s="416">
        <f t="shared" si="0"/>
        <v>210.74190109686737</v>
      </c>
    </row>
    <row r="12" spans="1:10" ht="21.95" customHeight="1">
      <c r="A12" s="412">
        <v>6</v>
      </c>
      <c r="B12" s="413">
        <v>0</v>
      </c>
      <c r="C12" s="414">
        <v>0</v>
      </c>
      <c r="D12" s="413">
        <v>12000</v>
      </c>
      <c r="E12" s="414">
        <v>111810</v>
      </c>
      <c r="F12" s="415">
        <v>0</v>
      </c>
      <c r="G12" s="416">
        <v>0</v>
      </c>
    </row>
    <row r="13" spans="1:10" ht="21.95" customHeight="1">
      <c r="A13" s="412">
        <v>7</v>
      </c>
      <c r="B13" s="413">
        <v>12004</v>
      </c>
      <c r="C13" s="414">
        <v>57394.13</v>
      </c>
      <c r="D13" s="413">
        <v>0</v>
      </c>
      <c r="E13" s="414">
        <v>0</v>
      </c>
      <c r="F13" s="415">
        <f t="shared" si="0"/>
        <v>0</v>
      </c>
      <c r="G13" s="416">
        <f t="shared" si="0"/>
        <v>0</v>
      </c>
    </row>
    <row r="14" spans="1:10" ht="21.95" customHeight="1">
      <c r="A14" s="412">
        <v>8</v>
      </c>
      <c r="B14" s="413">
        <v>0</v>
      </c>
      <c r="C14" s="414">
        <v>0</v>
      </c>
      <c r="D14" s="413">
        <v>0</v>
      </c>
      <c r="E14" s="414">
        <v>0</v>
      </c>
      <c r="F14" s="415">
        <v>0</v>
      </c>
      <c r="G14" s="416">
        <v>0</v>
      </c>
    </row>
    <row r="15" spans="1:10" ht="21.95" customHeight="1">
      <c r="A15" s="412">
        <v>9</v>
      </c>
      <c r="B15" s="417">
        <v>12001</v>
      </c>
      <c r="C15" s="414">
        <v>59239.94</v>
      </c>
      <c r="D15" s="417">
        <v>12000</v>
      </c>
      <c r="E15" s="414">
        <v>104775</v>
      </c>
      <c r="F15" s="415">
        <f t="shared" si="0"/>
        <v>99.991667361053246</v>
      </c>
      <c r="G15" s="416">
        <f t="shared" si="0"/>
        <v>176.86547285496911</v>
      </c>
    </row>
    <row r="16" spans="1:10" ht="21.95" customHeight="1">
      <c r="A16" s="412">
        <v>10</v>
      </c>
      <c r="B16" s="413">
        <v>12001</v>
      </c>
      <c r="C16" s="414">
        <v>70385.86</v>
      </c>
      <c r="D16" s="413">
        <v>12000</v>
      </c>
      <c r="E16" s="414">
        <v>122100</v>
      </c>
      <c r="F16" s="415">
        <f t="shared" si="0"/>
        <v>99.991667361053246</v>
      </c>
      <c r="G16" s="416">
        <f t="shared" si="0"/>
        <v>173.47234231420913</v>
      </c>
      <c r="I16" s="418"/>
      <c r="J16" s="419"/>
    </row>
    <row r="17" spans="1:10" ht="21.95" customHeight="1">
      <c r="A17" s="412">
        <v>11</v>
      </c>
      <c r="B17" s="413">
        <f>12000+12000</f>
        <v>24000</v>
      </c>
      <c r="C17" s="414">
        <f>68310+67275</f>
        <v>135585</v>
      </c>
      <c r="D17" s="413">
        <f>12001+12000</f>
        <v>24001</v>
      </c>
      <c r="E17" s="414">
        <f>107610+116859.74</f>
        <v>224469.74</v>
      </c>
      <c r="F17" s="415">
        <f t="shared" si="0"/>
        <v>100.00416666666668</v>
      </c>
      <c r="G17" s="416">
        <f t="shared" si="0"/>
        <v>165.55647011100046</v>
      </c>
      <c r="I17" s="418"/>
      <c r="J17" s="419"/>
    </row>
    <row r="18" spans="1:10" ht="21.95" customHeight="1" thickBot="1">
      <c r="A18" s="420">
        <v>12</v>
      </c>
      <c r="B18" s="421">
        <f>12000+12000+12000</f>
        <v>36000</v>
      </c>
      <c r="C18" s="422">
        <f>61770+65505-453+65040</f>
        <v>191862</v>
      </c>
      <c r="D18" s="421">
        <f>12000+12001</f>
        <v>24001</v>
      </c>
      <c r="E18" s="422">
        <f>102368.53+103110</f>
        <v>205478.53</v>
      </c>
      <c r="F18" s="423">
        <f t="shared" si="0"/>
        <v>66.669444444444451</v>
      </c>
      <c r="G18" s="424">
        <f t="shared" si="0"/>
        <v>107.09704370849882</v>
      </c>
      <c r="I18" s="418"/>
    </row>
    <row r="19" spans="1:10" ht="30" customHeight="1" thickBot="1">
      <c r="A19" s="425" t="s">
        <v>23</v>
      </c>
      <c r="B19" s="426">
        <f>SUM(B7:B18)</f>
        <v>204032</v>
      </c>
      <c r="C19" s="427">
        <f>SUM(C7:C18)</f>
        <v>955874.33</v>
      </c>
      <c r="D19" s="428">
        <f>SUM(D7:D18)</f>
        <v>206008</v>
      </c>
      <c r="E19" s="429">
        <f>SUM(E7:E18)</f>
        <v>1653478.05</v>
      </c>
      <c r="F19" s="430">
        <f>D19/B19*100</f>
        <v>100.96847553324967</v>
      </c>
      <c r="G19" s="431">
        <f>E19/C19*100</f>
        <v>172.98069402072971</v>
      </c>
    </row>
    <row r="20" spans="1:10" ht="15.75" thickBot="1">
      <c r="E20" s="419"/>
    </row>
    <row r="21" spans="1:10" ht="15.75" thickBot="1">
      <c r="A21" s="432" t="s">
        <v>207</v>
      </c>
      <c r="B21" s="433"/>
      <c r="C21" s="434"/>
      <c r="D21" s="434"/>
      <c r="E21" s="419"/>
    </row>
    <row r="22" spans="1:10">
      <c r="D22" s="418"/>
    </row>
    <row r="23" spans="1:10">
      <c r="D23" s="418"/>
    </row>
    <row r="24" spans="1:10">
      <c r="D24" s="418"/>
    </row>
    <row r="25" spans="1:10">
      <c r="D25" s="418"/>
    </row>
    <row r="26" spans="1:10">
      <c r="D26" s="418"/>
    </row>
    <row r="27" spans="1:10">
      <c r="D27" s="418"/>
    </row>
    <row r="28" spans="1:10">
      <c r="D28" s="418"/>
    </row>
    <row r="30" spans="1:10">
      <c r="D30" s="418"/>
    </row>
  </sheetData>
  <mergeCells count="6">
    <mergeCell ref="A3:G3"/>
    <mergeCell ref="A5:A6"/>
    <mergeCell ref="B5:C5"/>
    <mergeCell ref="D5:E5"/>
    <mergeCell ref="F5:F6"/>
    <mergeCell ref="G5:G6"/>
  </mergeCells>
  <pageMargins left="0.70866141732283472" right="0.70866141732283472" top="0.74803149606299213" bottom="0.74803149606299213" header="0.31496062992125984" footer="0.31496062992125984"/>
  <pageSetup paperSize="9" scale="80" pageOrder="overThenDown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J24"/>
  <sheetViews>
    <sheetView workbookViewId="0">
      <selection activeCell="D55" sqref="D55"/>
    </sheetView>
  </sheetViews>
  <sheetFormatPr defaultRowHeight="15"/>
  <cols>
    <col min="1" max="1" width="12.42578125" style="404" customWidth="1"/>
    <col min="2" max="2" width="12.7109375" style="404" customWidth="1"/>
    <col min="3" max="3" width="20.7109375" style="404" customWidth="1"/>
    <col min="4" max="4" width="12.7109375" style="404" customWidth="1"/>
    <col min="5" max="5" width="20.7109375" style="404" customWidth="1"/>
    <col min="6" max="7" width="13.7109375" style="404" customWidth="1"/>
    <col min="8" max="9" width="9.140625" style="404"/>
    <col min="10" max="10" width="6.42578125" style="404" bestFit="1" customWidth="1"/>
    <col min="11" max="16384" width="9.140625" style="404"/>
  </cols>
  <sheetData>
    <row r="1" spans="1:10" ht="15.75" thickBot="1">
      <c r="A1" s="403" t="s">
        <v>60</v>
      </c>
      <c r="G1" s="531" t="s">
        <v>246</v>
      </c>
    </row>
    <row r="2" spans="1:10" ht="15.75" thickBot="1">
      <c r="A2" s="403"/>
    </row>
    <row r="3" spans="1:10" ht="27" thickBot="1">
      <c r="A3" s="860" t="s">
        <v>208</v>
      </c>
      <c r="B3" s="861"/>
      <c r="C3" s="861"/>
      <c r="D3" s="861"/>
      <c r="E3" s="861"/>
      <c r="F3" s="861"/>
      <c r="G3" s="862"/>
    </row>
    <row r="4" spans="1:10" ht="15.75" thickBot="1"/>
    <row r="5" spans="1:10" ht="60" customHeight="1" thickBot="1">
      <c r="A5" s="863" t="s">
        <v>200</v>
      </c>
      <c r="B5" s="874" t="s">
        <v>201</v>
      </c>
      <c r="C5" s="875"/>
      <c r="D5" s="876" t="s">
        <v>202</v>
      </c>
      <c r="E5" s="877"/>
      <c r="F5" s="878" t="s">
        <v>209</v>
      </c>
      <c r="G5" s="880" t="s">
        <v>210</v>
      </c>
    </row>
    <row r="6" spans="1:10" ht="15.75" thickBot="1">
      <c r="A6" s="873"/>
      <c r="B6" s="435" t="s">
        <v>211</v>
      </c>
      <c r="C6" s="436" t="s">
        <v>206</v>
      </c>
      <c r="D6" s="435" t="s">
        <v>211</v>
      </c>
      <c r="E6" s="436" t="s">
        <v>206</v>
      </c>
      <c r="F6" s="879"/>
      <c r="G6" s="881"/>
      <c r="I6" s="437"/>
    </row>
    <row r="7" spans="1:10" ht="21.95" customHeight="1">
      <c r="A7" s="438">
        <v>1</v>
      </c>
      <c r="B7" s="439">
        <f>88876+16</f>
        <v>88892</v>
      </c>
      <c r="C7" s="440">
        <f>21911.75+58856.34+47.88</f>
        <v>80815.97</v>
      </c>
      <c r="D7" s="439">
        <f>128837</f>
        <v>128837</v>
      </c>
      <c r="E7" s="441">
        <f>86272.21+28990.43+47.86</f>
        <v>115310.50000000001</v>
      </c>
      <c r="F7" s="442">
        <f>D7/B7*100</f>
        <v>144.93655222067227</v>
      </c>
      <c r="G7" s="443">
        <f>E7/C7*100</f>
        <v>142.68281380524172</v>
      </c>
      <c r="I7" s="437"/>
    </row>
    <row r="8" spans="1:10" ht="21.95" customHeight="1">
      <c r="A8" s="412">
        <v>2</v>
      </c>
      <c r="B8" s="413">
        <f>106496+24</f>
        <v>106520</v>
      </c>
      <c r="C8" s="444">
        <f>25286.13+71214.79+47.69</f>
        <v>96548.61</v>
      </c>
      <c r="D8" s="413">
        <f>121531</f>
        <v>121531</v>
      </c>
      <c r="E8" s="414">
        <f>81058.64+27969.58+47.69</f>
        <v>109075.91</v>
      </c>
      <c r="F8" s="415">
        <f t="shared" ref="F8:G18" si="0">D8/B8*100</f>
        <v>114.09218926023281</v>
      </c>
      <c r="G8" s="416">
        <f t="shared" si="0"/>
        <v>112.9751220654549</v>
      </c>
      <c r="I8" s="437"/>
    </row>
    <row r="9" spans="1:10" ht="21.95" customHeight="1">
      <c r="A9" s="412">
        <v>3</v>
      </c>
      <c r="B9" s="413">
        <v>117357</v>
      </c>
      <c r="C9" s="444">
        <v>105896.77</v>
      </c>
      <c r="D9" s="413">
        <f>129803</f>
        <v>129803</v>
      </c>
      <c r="E9" s="414">
        <f>86758.29+29342.09+47.87</f>
        <v>116148.24999999999</v>
      </c>
      <c r="F9" s="415">
        <f t="shared" si="0"/>
        <v>110.60524723706297</v>
      </c>
      <c r="G9" s="416">
        <f t="shared" si="0"/>
        <v>109.68063520728724</v>
      </c>
      <c r="I9" s="437"/>
    </row>
    <row r="10" spans="1:10" ht="21.95" customHeight="1">
      <c r="A10" s="412">
        <v>4</v>
      </c>
      <c r="B10" s="413">
        <v>111199</v>
      </c>
      <c r="C10" s="444">
        <v>99025.52</v>
      </c>
      <c r="D10" s="413">
        <v>123744</v>
      </c>
      <c r="E10" s="414">
        <f>81434.24+27782.26+87.3</f>
        <v>109303.8</v>
      </c>
      <c r="F10" s="415">
        <f t="shared" si="0"/>
        <v>111.28157627316793</v>
      </c>
      <c r="G10" s="416">
        <f t="shared" si="0"/>
        <v>110.37942542488037</v>
      </c>
      <c r="I10" s="437"/>
    </row>
    <row r="11" spans="1:10" ht="21.95" customHeight="1">
      <c r="A11" s="412">
        <v>5</v>
      </c>
      <c r="B11" s="413">
        <v>113700</v>
      </c>
      <c r="C11" s="444">
        <v>100807.03</v>
      </c>
      <c r="D11" s="413">
        <f>133809+7</f>
        <v>133816</v>
      </c>
      <c r="E11" s="414">
        <f>88598.19+30738.57+107.69</f>
        <v>119444.45000000001</v>
      </c>
      <c r="F11" s="415">
        <f t="shared" si="0"/>
        <v>117.69217238346525</v>
      </c>
      <c r="G11" s="416">
        <f>E11/C11*100</f>
        <v>118.48821456202015</v>
      </c>
      <c r="I11" s="437"/>
      <c r="J11" s="419"/>
    </row>
    <row r="12" spans="1:10" ht="21.95" customHeight="1">
      <c r="A12" s="412">
        <v>6</v>
      </c>
      <c r="B12" s="413">
        <v>138631</v>
      </c>
      <c r="C12" s="444">
        <v>124448.45</v>
      </c>
      <c r="D12" s="413">
        <v>159482</v>
      </c>
      <c r="E12" s="414">
        <f>105293.5+36636.08+87.48</f>
        <v>142017.06000000003</v>
      </c>
      <c r="F12" s="415">
        <f t="shared" si="0"/>
        <v>115.04064747423016</v>
      </c>
      <c r="G12" s="416">
        <f t="shared" si="0"/>
        <v>114.11717863902686</v>
      </c>
    </row>
    <row r="13" spans="1:10" ht="21.95" customHeight="1">
      <c r="A13" s="412">
        <v>7</v>
      </c>
      <c r="B13" s="413">
        <v>158827</v>
      </c>
      <c r="C13" s="444">
        <f>105293.72+35795.47+53.57+56.48</f>
        <v>141199.24000000002</v>
      </c>
      <c r="D13" s="413">
        <v>169073</v>
      </c>
      <c r="E13" s="414">
        <f>111669.66+37838.48+87.48</f>
        <v>149595.62000000002</v>
      </c>
      <c r="F13" s="415">
        <f t="shared" si="0"/>
        <v>106.45104421792264</v>
      </c>
      <c r="G13" s="416">
        <f t="shared" si="0"/>
        <v>105.94647676573896</v>
      </c>
    </row>
    <row r="14" spans="1:10" ht="21.95" customHeight="1">
      <c r="A14" s="412">
        <v>8</v>
      </c>
      <c r="B14" s="413">
        <v>153588</v>
      </c>
      <c r="C14" s="444">
        <f>101417.57+34485.62+50.12</f>
        <v>135953.31</v>
      </c>
      <c r="D14" s="413">
        <v>159524</v>
      </c>
      <c r="E14" s="414">
        <f>105292.28+35575.87+87.48</f>
        <v>140955.63</v>
      </c>
      <c r="F14" s="415">
        <f t="shared" si="0"/>
        <v>103.86488527749565</v>
      </c>
      <c r="G14" s="416">
        <f t="shared" si="0"/>
        <v>103.67943965468733</v>
      </c>
    </row>
    <row r="15" spans="1:10" ht="21.95" customHeight="1">
      <c r="A15" s="412">
        <v>9</v>
      </c>
      <c r="B15" s="413">
        <f>18+136828</f>
        <v>136846</v>
      </c>
      <c r="C15" s="444">
        <f>90785.89+31121.33+47.86</f>
        <v>121955.08</v>
      </c>
      <c r="D15" s="413">
        <v>135385</v>
      </c>
      <c r="E15" s="414">
        <f>89001.3+31161.51+53.25+87.48</f>
        <v>120303.54</v>
      </c>
      <c r="F15" s="415">
        <f t="shared" si="0"/>
        <v>98.932376540052331</v>
      </c>
      <c r="G15" s="416">
        <f t="shared" si="0"/>
        <v>98.645780069186131</v>
      </c>
    </row>
    <row r="16" spans="1:10" ht="21.95" customHeight="1">
      <c r="A16" s="412">
        <v>10</v>
      </c>
      <c r="B16" s="413">
        <f>131707+19</f>
        <v>131726</v>
      </c>
      <c r="C16" s="444">
        <f>86549.18+29241.71+53.57+47.86</f>
        <v>115892.31999999999</v>
      </c>
      <c r="D16" s="413">
        <v>127630</v>
      </c>
      <c r="E16" s="414">
        <f>83841.52+28442.99+130.41</f>
        <v>112414.92000000001</v>
      </c>
      <c r="F16" s="415">
        <f t="shared" si="0"/>
        <v>96.890515160256896</v>
      </c>
      <c r="G16" s="416">
        <f t="shared" si="0"/>
        <v>96.999456046785511</v>
      </c>
    </row>
    <row r="17" spans="1:10" ht="21.95" customHeight="1">
      <c r="A17" s="412">
        <v>11</v>
      </c>
      <c r="B17" s="413">
        <f>123023+17</f>
        <v>123040</v>
      </c>
      <c r="C17" s="444">
        <f>82192.64+28802.78+47.69</f>
        <v>111043.11</v>
      </c>
      <c r="D17" s="413">
        <v>112456</v>
      </c>
      <c r="E17" s="414">
        <f>113.65+75361.21+26060.37</f>
        <v>101535.23</v>
      </c>
      <c r="F17" s="415">
        <f t="shared" si="0"/>
        <v>91.397919375812748</v>
      </c>
      <c r="G17" s="416">
        <f t="shared" si="0"/>
        <v>91.437667767050115</v>
      </c>
    </row>
    <row r="18" spans="1:10" ht="21.95" customHeight="1" thickBot="1">
      <c r="A18" s="445">
        <v>12</v>
      </c>
      <c r="B18" s="446">
        <f>114958+19</f>
        <v>114977</v>
      </c>
      <c r="C18" s="447">
        <f>76936.25+26861.93+47.86</f>
        <v>103846.04</v>
      </c>
      <c r="D18" s="446">
        <v>110827</v>
      </c>
      <c r="E18" s="448">
        <f>87.55+26872.32+75000</f>
        <v>101959.87</v>
      </c>
      <c r="F18" s="449">
        <f t="shared" si="0"/>
        <v>96.390582464318953</v>
      </c>
      <c r="G18" s="450">
        <f t="shared" si="0"/>
        <v>98.183686156930008</v>
      </c>
      <c r="H18" s="437"/>
      <c r="I18" s="437"/>
    </row>
    <row r="19" spans="1:10" ht="30" customHeight="1" thickBot="1">
      <c r="A19" s="425" t="s">
        <v>23</v>
      </c>
      <c r="B19" s="451">
        <f>SUM(B7:B18)</f>
        <v>1495303</v>
      </c>
      <c r="C19" s="452">
        <f>SUM(C7:C18)</f>
        <v>1337431.45</v>
      </c>
      <c r="D19" s="453">
        <f>SUM(D7:D18)</f>
        <v>1612108</v>
      </c>
      <c r="E19" s="454">
        <f>SUM(E7:E18)</f>
        <v>1438064.7799999998</v>
      </c>
      <c r="F19" s="455">
        <f>D19/B19*100</f>
        <v>107.81146028597549</v>
      </c>
      <c r="G19" s="456">
        <f>E19/C19*100</f>
        <v>107.52437293141266</v>
      </c>
    </row>
    <row r="20" spans="1:10" ht="15.75" thickBot="1">
      <c r="E20" s="419"/>
    </row>
    <row r="21" spans="1:10" ht="15.75" thickBot="1">
      <c r="A21" s="457" t="s">
        <v>207</v>
      </c>
      <c r="B21" s="458"/>
      <c r="C21" s="459"/>
      <c r="D21" s="459"/>
      <c r="E21" s="419"/>
    </row>
    <row r="22" spans="1:10">
      <c r="A22" s="404" t="s">
        <v>212</v>
      </c>
      <c r="E22" s="418"/>
    </row>
    <row r="23" spans="1:10">
      <c r="J23" s="419"/>
    </row>
    <row r="24" spans="1:10">
      <c r="J24" s="419"/>
    </row>
  </sheetData>
  <mergeCells count="6">
    <mergeCell ref="A3:G3"/>
    <mergeCell ref="A5:A6"/>
    <mergeCell ref="B5:C5"/>
    <mergeCell ref="D5:E5"/>
    <mergeCell ref="F5:F6"/>
    <mergeCell ref="G5:G6"/>
  </mergeCells>
  <pageMargins left="0.70866141732283472" right="0.70866141732283472" top="0.74803149606299213" bottom="0.74803149606299213" header="0.31496062992125984" footer="0.31496062992125984"/>
  <pageSetup paperSize="9" scale="80" pageOrder="overThenDown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J23"/>
  <sheetViews>
    <sheetView workbookViewId="0">
      <selection activeCell="D1" sqref="D1"/>
    </sheetView>
  </sheetViews>
  <sheetFormatPr defaultRowHeight="15"/>
  <cols>
    <col min="1" max="1" width="12.42578125" style="404" customWidth="1"/>
    <col min="2" max="2" width="12.7109375" style="404" customWidth="1"/>
    <col min="3" max="3" width="20.7109375" style="404" customWidth="1"/>
    <col min="4" max="4" width="12.7109375" style="404" customWidth="1"/>
    <col min="5" max="5" width="20.7109375" style="404" customWidth="1"/>
    <col min="6" max="7" width="13.7109375" style="404" customWidth="1"/>
    <col min="8" max="16384" width="9.140625" style="404"/>
  </cols>
  <sheetData>
    <row r="1" spans="1:10" ht="15.75" thickBot="1">
      <c r="A1" s="403" t="s">
        <v>60</v>
      </c>
      <c r="G1" s="531" t="s">
        <v>247</v>
      </c>
    </row>
    <row r="2" spans="1:10" ht="15.75" thickBot="1">
      <c r="A2" s="403"/>
    </row>
    <row r="3" spans="1:10" ht="27" thickBot="1">
      <c r="A3" s="860" t="s">
        <v>219</v>
      </c>
      <c r="B3" s="861"/>
      <c r="C3" s="861"/>
      <c r="D3" s="861"/>
      <c r="E3" s="861"/>
      <c r="F3" s="861"/>
      <c r="G3" s="862"/>
    </row>
    <row r="4" spans="1:10" ht="15.75" thickBot="1"/>
    <row r="5" spans="1:10" ht="60" customHeight="1">
      <c r="A5" s="863" t="s">
        <v>200</v>
      </c>
      <c r="B5" s="882" t="s">
        <v>201</v>
      </c>
      <c r="C5" s="883"/>
      <c r="D5" s="884" t="s">
        <v>202</v>
      </c>
      <c r="E5" s="885"/>
      <c r="F5" s="886" t="s">
        <v>220</v>
      </c>
      <c r="G5" s="888" t="s">
        <v>221</v>
      </c>
    </row>
    <row r="6" spans="1:10" ht="15.75" thickBot="1">
      <c r="A6" s="864"/>
      <c r="B6" s="405" t="s">
        <v>222</v>
      </c>
      <c r="C6" s="406" t="s">
        <v>206</v>
      </c>
      <c r="D6" s="405" t="s">
        <v>222</v>
      </c>
      <c r="E6" s="406" t="s">
        <v>206</v>
      </c>
      <c r="F6" s="887"/>
      <c r="G6" s="889"/>
    </row>
    <row r="7" spans="1:10" ht="21.95" customHeight="1">
      <c r="A7" s="407">
        <v>1</v>
      </c>
      <c r="B7" s="468">
        <v>0</v>
      </c>
      <c r="C7" s="469">
        <v>0</v>
      </c>
      <c r="D7" s="468">
        <v>0</v>
      </c>
      <c r="E7" s="470">
        <v>0</v>
      </c>
      <c r="F7" s="471">
        <v>0</v>
      </c>
      <c r="G7" s="472">
        <v>0</v>
      </c>
    </row>
    <row r="8" spans="1:10" ht="21.95" customHeight="1">
      <c r="A8" s="412">
        <v>2</v>
      </c>
      <c r="B8" s="473">
        <v>1502</v>
      </c>
      <c r="C8" s="474">
        <v>12034.78</v>
      </c>
      <c r="D8" s="473">
        <v>2000</v>
      </c>
      <c r="E8" s="475">
        <v>21150</v>
      </c>
      <c r="F8" s="471">
        <f>D8/B8*100</f>
        <v>133.15579227696406</v>
      </c>
      <c r="G8" s="472">
        <f>E8/C8*100</f>
        <v>175.74064503048663</v>
      </c>
    </row>
    <row r="9" spans="1:10" ht="21.95" customHeight="1">
      <c r="A9" s="412">
        <v>3</v>
      </c>
      <c r="B9" s="473">
        <v>0</v>
      </c>
      <c r="C9" s="474">
        <v>0</v>
      </c>
      <c r="D9" s="473">
        <v>1500</v>
      </c>
      <c r="E9" s="475">
        <v>16631.25</v>
      </c>
      <c r="F9" s="471">
        <v>0</v>
      </c>
      <c r="G9" s="472">
        <v>0</v>
      </c>
    </row>
    <row r="10" spans="1:10" ht="21.95" customHeight="1">
      <c r="A10" s="412">
        <v>4</v>
      </c>
      <c r="B10" s="473">
        <v>1301</v>
      </c>
      <c r="C10" s="474">
        <v>9936.39</v>
      </c>
      <c r="D10" s="473">
        <v>0</v>
      </c>
      <c r="E10" s="475">
        <v>0</v>
      </c>
      <c r="F10" s="471">
        <f t="shared" ref="F10:G18" si="0">D10/B10*100</f>
        <v>0</v>
      </c>
      <c r="G10" s="472">
        <f t="shared" si="0"/>
        <v>0</v>
      </c>
    </row>
    <row r="11" spans="1:10" ht="21.95" customHeight="1">
      <c r="A11" s="412">
        <v>5</v>
      </c>
      <c r="B11" s="473">
        <v>1600</v>
      </c>
      <c r="C11" s="474">
        <v>11640</v>
      </c>
      <c r="D11" s="473">
        <v>2001</v>
      </c>
      <c r="E11" s="475">
        <v>24787.39</v>
      </c>
      <c r="F11" s="471">
        <f t="shared" si="0"/>
        <v>125.06250000000001</v>
      </c>
      <c r="G11" s="472">
        <f t="shared" si="0"/>
        <v>212.95008591065292</v>
      </c>
    </row>
    <row r="12" spans="1:10" ht="21.95" customHeight="1">
      <c r="A12" s="412">
        <v>6</v>
      </c>
      <c r="B12" s="473">
        <v>0</v>
      </c>
      <c r="C12" s="474">
        <v>0</v>
      </c>
      <c r="D12" s="473">
        <v>0</v>
      </c>
      <c r="E12" s="475">
        <v>0</v>
      </c>
      <c r="F12" s="471">
        <v>0</v>
      </c>
      <c r="G12" s="472">
        <v>0</v>
      </c>
    </row>
    <row r="13" spans="1:10" ht="21.95" customHeight="1">
      <c r="A13" s="412">
        <v>7</v>
      </c>
      <c r="B13" s="473">
        <v>1600</v>
      </c>
      <c r="C13" s="474">
        <v>13460</v>
      </c>
      <c r="D13" s="473">
        <v>1221</v>
      </c>
      <c r="E13" s="475">
        <v>14896.2</v>
      </c>
      <c r="F13" s="471">
        <f t="shared" si="0"/>
        <v>76.3125</v>
      </c>
      <c r="G13" s="472">
        <f t="shared" si="0"/>
        <v>110.6701337295691</v>
      </c>
      <c r="J13" s="419"/>
    </row>
    <row r="14" spans="1:10" ht="21.95" customHeight="1">
      <c r="A14" s="412">
        <v>8</v>
      </c>
      <c r="B14" s="473">
        <v>0</v>
      </c>
      <c r="C14" s="474">
        <v>0</v>
      </c>
      <c r="D14" s="473">
        <v>2000</v>
      </c>
      <c r="E14" s="475">
        <v>23000</v>
      </c>
      <c r="F14" s="471">
        <v>0</v>
      </c>
      <c r="G14" s="472">
        <v>0</v>
      </c>
      <c r="I14" s="437"/>
    </row>
    <row r="15" spans="1:10" ht="21.95" customHeight="1">
      <c r="A15" s="412">
        <v>9</v>
      </c>
      <c r="B15" s="476">
        <v>1602</v>
      </c>
      <c r="C15" s="474">
        <v>13737.15</v>
      </c>
      <c r="D15" s="476">
        <v>0</v>
      </c>
      <c r="E15" s="475">
        <v>0</v>
      </c>
      <c r="F15" s="471">
        <f t="shared" si="0"/>
        <v>0</v>
      </c>
      <c r="G15" s="472">
        <f t="shared" si="0"/>
        <v>0</v>
      </c>
    </row>
    <row r="16" spans="1:10" ht="21.95" customHeight="1">
      <c r="A16" s="412">
        <v>10</v>
      </c>
      <c r="B16" s="473">
        <v>1600</v>
      </c>
      <c r="C16" s="474">
        <v>16300</v>
      </c>
      <c r="D16" s="473">
        <v>2000</v>
      </c>
      <c r="E16" s="475">
        <v>21225</v>
      </c>
      <c r="F16" s="471">
        <f t="shared" si="0"/>
        <v>125</v>
      </c>
      <c r="G16" s="472">
        <f t="shared" si="0"/>
        <v>130.21472392638037</v>
      </c>
    </row>
    <row r="17" spans="1:7" ht="21.95" customHeight="1">
      <c r="A17" s="412">
        <v>11</v>
      </c>
      <c r="B17" s="473">
        <v>0</v>
      </c>
      <c r="C17" s="474">
        <v>0</v>
      </c>
      <c r="D17" s="473">
        <v>0</v>
      </c>
      <c r="E17" s="475">
        <v>0</v>
      </c>
      <c r="F17" s="471">
        <v>0</v>
      </c>
      <c r="G17" s="472">
        <v>0</v>
      </c>
    </row>
    <row r="18" spans="1:7" ht="21.95" customHeight="1" thickBot="1">
      <c r="A18" s="420">
        <v>12</v>
      </c>
      <c r="B18" s="477">
        <v>2000</v>
      </c>
      <c r="C18" s="478">
        <v>19125</v>
      </c>
      <c r="D18" s="477">
        <v>2000</v>
      </c>
      <c r="E18" s="479">
        <v>20140</v>
      </c>
      <c r="F18" s="471">
        <f t="shared" si="0"/>
        <v>100</v>
      </c>
      <c r="G18" s="472">
        <f t="shared" si="0"/>
        <v>105.30718954248366</v>
      </c>
    </row>
    <row r="19" spans="1:7" ht="30" customHeight="1" thickBot="1">
      <c r="A19" s="425" t="s">
        <v>23</v>
      </c>
      <c r="B19" s="480">
        <f>SUM(B7:B18)</f>
        <v>11205</v>
      </c>
      <c r="C19" s="481">
        <v>96233.32</v>
      </c>
      <c r="D19" s="482">
        <f>SUM(D7:D18)</f>
        <v>12722</v>
      </c>
      <c r="E19" s="483">
        <f>SUM(E7:E18)</f>
        <v>141829.84</v>
      </c>
      <c r="F19" s="484">
        <f>D19/B19*100</f>
        <v>113.53859883980365</v>
      </c>
      <c r="G19" s="485">
        <f>E19/C19*100</f>
        <v>147.38121889590838</v>
      </c>
    </row>
    <row r="20" spans="1:7" ht="15.75" thickBot="1">
      <c r="E20" s="419"/>
    </row>
    <row r="21" spans="1:7" ht="15.75" thickBot="1">
      <c r="A21" s="486" t="s">
        <v>207</v>
      </c>
      <c r="B21" s="487"/>
      <c r="C21" s="488"/>
      <c r="D21" s="488"/>
      <c r="E21" s="419"/>
    </row>
    <row r="22" spans="1:7" ht="9.9499999999999993" customHeight="1" thickBot="1"/>
    <row r="23" spans="1:7" ht="15.75" thickBot="1">
      <c r="A23" s="489" t="s">
        <v>223</v>
      </c>
      <c r="B23" s="490"/>
      <c r="C23" s="491"/>
      <c r="E23" s="419"/>
    </row>
  </sheetData>
  <mergeCells count="6">
    <mergeCell ref="A3:G3"/>
    <mergeCell ref="A5:A6"/>
    <mergeCell ref="B5:C5"/>
    <mergeCell ref="D5:E5"/>
    <mergeCell ref="F5:F6"/>
    <mergeCell ref="G5:G6"/>
  </mergeCells>
  <pageMargins left="0.70866141732283472" right="0.70866141732283472" top="0.74803149606299213" bottom="0.74803149606299213" header="0.31496062992125984" footer="0.31496062992125984"/>
  <pageSetup paperSize="9" scale="80" pageOrder="overThenDown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16</vt:i4>
      </vt:variant>
      <vt:variant>
        <vt:lpstr>Imenovani rasponi</vt:lpstr>
      </vt:variant>
      <vt:variant>
        <vt:i4>1</vt:i4>
      </vt:variant>
    </vt:vector>
  </HeadingPairs>
  <TitlesOfParts>
    <vt:vector size="17" baseType="lpstr">
      <vt:lpstr>tab 1-prihodi  </vt:lpstr>
      <vt:lpstr>tab 2-limiti</vt:lpstr>
      <vt:lpstr>tab 3-sobe</vt:lpstr>
      <vt:lpstr>tab 4-kreveti HZZO</vt:lpstr>
      <vt:lpstr>tab 5-sportaši</vt:lpstr>
      <vt:lpstr>tab 6-rashodi</vt:lpstr>
      <vt:lpstr>tab 7-nafta</vt:lpstr>
      <vt:lpstr>tab 8-el.energija</vt:lpstr>
      <vt:lpstr>tab 9-plin</vt:lpstr>
      <vt:lpstr>tab 10-voda</vt:lpstr>
      <vt:lpstr>tab 11-energenti</vt:lpstr>
      <vt:lpstr>tab 12-tekuće i inv.održavanje</vt:lpstr>
      <vt:lpstr>tab 13-kapitalne investicije</vt:lpstr>
      <vt:lpstr>tab 14-obveze</vt:lpstr>
      <vt:lpstr>tab 15-potraživanja</vt:lpstr>
      <vt:lpstr>List1</vt:lpstr>
      <vt:lpstr>'tab 6-rashodi'!Ispis_naslova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csamsa</dc:creator>
  <cp:lastModifiedBy>csamsa</cp:lastModifiedBy>
  <cp:lastPrinted>2023-02-10T10:08:30Z</cp:lastPrinted>
  <dcterms:created xsi:type="dcterms:W3CDTF">2023-02-01T08:37:04Z</dcterms:created>
  <dcterms:modified xsi:type="dcterms:W3CDTF">2023-02-10T10:10:24Z</dcterms:modified>
</cp:coreProperties>
</file>